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ANEXO PB I RESUMO" sheetId="1" r:id="rId1"/>
    <sheet name="ANEXO PB II Penha brasil" sheetId="2" r:id="rId2"/>
    <sheet name="ANEXO PB II Alto Alegre" sheetId="3" r:id="rId3"/>
    <sheet name="ANEXO PB II Cantá" sheetId="4" r:id="rId4"/>
    <sheet name="ANEXO PB II Bonfim" sheetId="5" r:id="rId5"/>
    <sheet name="ANEXO PB II São Luiz" sheetId="6" r:id="rId6"/>
    <sheet name="ANEXO PB II Pacaraima" sheetId="7" r:id="rId7"/>
    <sheet name="ANEXO PB II RORAINÓPILS" sheetId="8" r:id="rId8"/>
    <sheet name="ANEXO PB II MUCAJAÍ" sheetId="9" r:id="rId9"/>
    <sheet name="ANEXO PB III Mem. de cálculo" sheetId="10" r:id="rId10"/>
    <sheet name="ANEXO PB IV Comp. auxiliares" sheetId="11" r:id="rId11"/>
    <sheet name="ANEXO PB  V Cotações" sheetId="12" r:id="rId12"/>
    <sheet name="ANEXO PB  VI CALCULO BDI" sheetId="13" r:id="rId13"/>
    <sheet name="ANEXO PB VI BDI Reduzido" sheetId="14" r:id="rId14"/>
    <sheet name="Cronograma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sub1" localSheetId="1">#REF!</definedName>
    <definedName name="______sub1">#REF!</definedName>
    <definedName name="______sub3" localSheetId="1">#REF!</definedName>
    <definedName name="______sub3">#REF!</definedName>
    <definedName name="_____ELE3">#REF!</definedName>
    <definedName name="_____sub2">#REF!</definedName>
    <definedName name="_____sub4">#REF!</definedName>
    <definedName name="_____tot1">#REF!</definedName>
    <definedName name="_____tot2">#REF!</definedName>
    <definedName name="_____tot3">#REF!</definedName>
    <definedName name="_____tot4">#REF!</definedName>
    <definedName name="_____tot5">#REF!</definedName>
    <definedName name="_____tot6">#REF!</definedName>
    <definedName name="_____tot7">#REF!</definedName>
    <definedName name="_____tot8">#REF!</definedName>
    <definedName name="____ELE1">#REF!</definedName>
    <definedName name="____ELE2">#REF!</definedName>
    <definedName name="____ELE3">#REF!</definedName>
    <definedName name="____sub1" localSheetId="1">#REF!</definedName>
    <definedName name="____sub1">#REF!</definedName>
    <definedName name="____sub2">#REF!</definedName>
    <definedName name="____sub3" localSheetId="1">#REF!</definedName>
    <definedName name="____sub3">#REF!</definedName>
    <definedName name="____sub4">#REF!</definedName>
    <definedName name="____tot1">#REF!</definedName>
    <definedName name="____tot2">#REF!</definedName>
    <definedName name="____tot3">#REF!</definedName>
    <definedName name="____tot4">#REF!</definedName>
    <definedName name="____tot5">#REF!</definedName>
    <definedName name="____tot6">#REF!</definedName>
    <definedName name="____tot7">#REF!</definedName>
    <definedName name="____tot8">#REF!</definedName>
    <definedName name="___ELE1">#REF!</definedName>
    <definedName name="___ELE2">#REF!</definedName>
    <definedName name="___ELE3">#REF!</definedName>
    <definedName name="___sub1" localSheetId="1">#REF!</definedName>
    <definedName name="___sub1">#REF!</definedName>
    <definedName name="___sub2">#REF!</definedName>
    <definedName name="___sub3" localSheetId="1">#REF!</definedName>
    <definedName name="___sub3">#REF!</definedName>
    <definedName name="___sub4">#REF!</definedName>
    <definedName name="___tot1">#REF!</definedName>
    <definedName name="___tot2">#REF!</definedName>
    <definedName name="___tot3">#REF!</definedName>
    <definedName name="___tot4">#REF!</definedName>
    <definedName name="___tot5">#REF!</definedName>
    <definedName name="___tot6">#REF!</definedName>
    <definedName name="___tot7">#REF!</definedName>
    <definedName name="___tot8">#REF!</definedName>
    <definedName name="__ELE03" localSheetId="1">#REF!</definedName>
    <definedName name="__ELE03">#REF!</definedName>
    <definedName name="__ELE1">#REF!</definedName>
    <definedName name="__ELE2">#REF!</definedName>
    <definedName name="__ELE3" localSheetId="1">#REF!</definedName>
    <definedName name="__ELE3">#REF!</definedName>
    <definedName name="__sub1" localSheetId="1">#REF!</definedName>
    <definedName name="__sub1">#REF!</definedName>
    <definedName name="__sub2" localSheetId="1">#REF!</definedName>
    <definedName name="__sub2">#REF!</definedName>
    <definedName name="__sub3" localSheetId="1">#REF!</definedName>
    <definedName name="__sub3">#REF!</definedName>
    <definedName name="__sub4" localSheetId="1">#REF!</definedName>
    <definedName name="__sub4">#REF!</definedName>
    <definedName name="__tot1" localSheetId="1">#REF!</definedName>
    <definedName name="__tot1">#REF!</definedName>
    <definedName name="__tot2" localSheetId="1">#REF!</definedName>
    <definedName name="__tot2">#REF!</definedName>
    <definedName name="__tot3" localSheetId="1">#REF!</definedName>
    <definedName name="__tot3">#REF!</definedName>
    <definedName name="__tot4" localSheetId="1">#REF!</definedName>
    <definedName name="__tot4">#REF!</definedName>
    <definedName name="__tot5" localSheetId="1">#REF!</definedName>
    <definedName name="__tot5">#REF!</definedName>
    <definedName name="__tot6" localSheetId="1">#REF!</definedName>
    <definedName name="__tot6">#REF!</definedName>
    <definedName name="__tot7" localSheetId="1">#REF!</definedName>
    <definedName name="__tot7">#REF!</definedName>
    <definedName name="__tot8" localSheetId="1">#REF!</definedName>
    <definedName name="__tot8">#REF!</definedName>
    <definedName name="_ELE1" localSheetId="1">#REF!</definedName>
    <definedName name="_ELE1">#REF!</definedName>
    <definedName name="_ELE2" localSheetId="1">#REF!</definedName>
    <definedName name="_ELE2">#REF!</definedName>
    <definedName name="_ELE3" localSheetId="1">#REF!</definedName>
    <definedName name="_ELE3">#REF!</definedName>
    <definedName name="_Fill" hidden="1">#REF!</definedName>
    <definedName name="_sub1" localSheetId="1">#REF!</definedName>
    <definedName name="_sub1">#REF!</definedName>
    <definedName name="_sub2" localSheetId="1">#REF!</definedName>
    <definedName name="_sub2">#REF!</definedName>
    <definedName name="_sub3" localSheetId="1">#REF!</definedName>
    <definedName name="_sub3">#REF!</definedName>
    <definedName name="_sub4" localSheetId="1">#REF!</definedName>
    <definedName name="_sub4">#REF!</definedName>
    <definedName name="_tot1" localSheetId="1">#REF!</definedName>
    <definedName name="_tot1">#REF!</definedName>
    <definedName name="_tot2" localSheetId="1">#REF!</definedName>
    <definedName name="_tot2">#REF!</definedName>
    <definedName name="_tot3" localSheetId="1">#REF!</definedName>
    <definedName name="_tot3">#REF!</definedName>
    <definedName name="_tot4" localSheetId="1">#REF!</definedName>
    <definedName name="_tot4">#REF!</definedName>
    <definedName name="_tot5" localSheetId="1">#REF!</definedName>
    <definedName name="_tot5">#REF!</definedName>
    <definedName name="_tot6" localSheetId="1">#REF!</definedName>
    <definedName name="_tot6">#REF!</definedName>
    <definedName name="_tot7" localSheetId="1">#REF!</definedName>
    <definedName name="_tot7">#REF!</definedName>
    <definedName name="_tot8" localSheetId="1">#REF!</definedName>
    <definedName name="_tot8">#REF!</definedName>
    <definedName name="_xlfn.BAHTTEXT" hidden="1">#NAME?</definedName>
    <definedName name="A">{#N/A,#N/A,FALSE,"Planilha";#N/A,#N/A,FALSE,"Resumo";#N/A,#N/A,FALSE,"Fisico";#N/A,#N/A,FALSE,"Financeiro";#N/A,#N/A,FALSE,"Financeiro"}</definedName>
    <definedName name="AA">#REF!</definedName>
    <definedName name="AAA" localSheetId="1">#REF!</definedName>
    <definedName name="AAA">#REF!</definedName>
    <definedName name="AB">{#N/A,#N/A,FALSE,"Planilha";#N/A,#N/A,FALSE,"Resumo";#N/A,#N/A,FALSE,"Fisico";#N/A,#N/A,FALSE,"Financeiro";#N/A,#N/A,FALSE,"Financeiro"}</definedName>
    <definedName name="Alvenaria_vedação">"$#REF!.$#REF!$#REF!"</definedName>
    <definedName name="AreaTeste">#REF!</definedName>
    <definedName name="AreaTeste2">#REF!</definedName>
    <definedName name="ASSEN_TUBO_EMISS" localSheetId="1">#REF!</definedName>
    <definedName name="ASSEN_TUBO_EMISS">#REF!</definedName>
    <definedName name="ASSEN_TUBO_EMISS2" localSheetId="1">#REF!</definedName>
    <definedName name="ASSEN_TUBO_EMISS2">#REF!</definedName>
    <definedName name="ASSENT_EMISS3_S" localSheetId="1">#REF!</definedName>
    <definedName name="ASSENT_EMISS3_S">#REF!</definedName>
    <definedName name="ASSENT_TUBO" localSheetId="1">#REF!</definedName>
    <definedName name="ASSENT_TUBO">#REF!</definedName>
    <definedName name="AUXILIAR">#N/A</definedName>
    <definedName name="bacia16" localSheetId="1">#REF!</definedName>
    <definedName name="bacia16">#REF!</definedName>
    <definedName name="BB">#REF!</definedName>
    <definedName name="bdi">#REF!</definedName>
    <definedName name="BL_ANC_EMISS3_S" localSheetId="1">#REF!</definedName>
    <definedName name="BL_ANC_EMISS3_S">#REF!</definedName>
    <definedName name="BL_ANCO_EMISS2" localSheetId="1">#REF!</definedName>
    <definedName name="BL_ANCO_EMISS2">#REF!</definedName>
    <definedName name="BLOCO_ANCOR_EMISS" localSheetId="1">#REF!</definedName>
    <definedName name="BLOCO_ANCOR_EMISS">#REF!</definedName>
    <definedName name="CAD_EMISS3_S" localSheetId="1">#REF!</definedName>
    <definedName name="CAD_EMISS3_S">#REF!</definedName>
    <definedName name="CADASTRO">#REF!</definedName>
    <definedName name="CADASTRO_EMISS" localSheetId="1">#REF!</definedName>
    <definedName name="CADASTRO_EMISS">#REF!</definedName>
    <definedName name="CADASTRO_EMISS2" localSheetId="1">#REF!</definedName>
    <definedName name="CADASTRO_EMISS2">#REF!</definedName>
    <definedName name="CADASTRO_REDE_COL" localSheetId="1">#REF!</definedName>
    <definedName name="CADASTRO_REDE_COL">#REF!</definedName>
    <definedName name="CAIXAS" localSheetId="1">#REF!</definedName>
    <definedName name="CAIXAS">#REF!</definedName>
    <definedName name="CAIXAS_EMISS3_S" localSheetId="1">#REF!</definedName>
    <definedName name="CAIXAS_EMISS3_S">#REF!</definedName>
    <definedName name="Camada_brita">"$#REF!.$#REF!$#REF!"</definedName>
    <definedName name="Camada_impermeabilizadora">"$#REF!.$#REF!$#REF!"</definedName>
    <definedName name="CAMPANARIO" localSheetId="1">'[7]UTR 2'!#REF!</definedName>
    <definedName name="CAMPANARIO">'[7]UTR 2'!#REF!</definedName>
    <definedName name="CANTEIRO_DE_OBRAS">'[8]CANT_OBRAS'!$H$8</definedName>
    <definedName name="CANTEIRO_OBRAS" localSheetId="1">#REF!</definedName>
    <definedName name="CANTEIRO_OBRAS">#REF!</definedName>
    <definedName name="CélulaInicioPlanilha">#REF!</definedName>
    <definedName name="CélulaResumo">#REF!</definedName>
    <definedName name="Chapisco">"$#REF!.$#REF!$#REF!"</definedName>
    <definedName name="Cobertura">"$#REF!.$#REF!$#REF!"</definedName>
    <definedName name="Cobertura_canal">"$#REF!.$#REF!$#REF!"</definedName>
    <definedName name="COEF_LINEAR">#REF!</definedName>
    <definedName name="CONT_CANTEIRO">#REF!</definedName>
    <definedName name="COTAS">#REF!</definedName>
    <definedName name="DadosExternos_1_1">"$#REF!.$#REF!$#REF!"</definedName>
    <definedName name="DESAP" localSheetId="1">#REF!</definedName>
    <definedName name="DESAP">#REF!</definedName>
    <definedName name="DESAPROPRIAÇÃO">'[8]AQU TERRENO-'!$H$9</definedName>
    <definedName name="E">#REF!</definedName>
    <definedName name="EE" localSheetId="1">#REF!</definedName>
    <definedName name="EE">#REF!</definedName>
    <definedName name="EE1_MAT" localSheetId="1">'[9]B - Captação_Elevação 1a Etapa '!#REF!</definedName>
    <definedName name="EE1_MAT">'[9]B - Captação_Elevação 1a Etapa '!#REF!</definedName>
    <definedName name="EE1_MATERIAIS">'[8]ESTA ELEVATÓRIA_'!$H$106</definedName>
    <definedName name="EE1_SERV" localSheetId="1">'[9]B - Captação_Elevação 1a Etapa '!#REF!</definedName>
    <definedName name="EE1_SERV">'[9]B - Captação_Elevação 1a Etapa '!#REF!</definedName>
    <definedName name="EE1_SERVIÇOS">'[8]ESTA ELEVATÓRIA_'!$H$9</definedName>
    <definedName name="EE2_MAT" localSheetId="1">'[9]B - Captação_Elevação 1a Etapa '!#REF!</definedName>
    <definedName name="EE2_MAT">'[9]B - Captação_Elevação 1a Etapa '!#REF!</definedName>
    <definedName name="EE2_MATERIAIS">'[8]ESTA ELEVATÓRIA_'!$H$244</definedName>
    <definedName name="EE2_SERV" localSheetId="1">'[9]B - Captação_Elevação 1a Etapa '!#REF!</definedName>
    <definedName name="EE2_SERV">'[9]B - Captação_Elevação 1a Etapa '!#REF!</definedName>
    <definedName name="EE2_SERVIÇOS">'[8]ESTA ELEVATÓRIA_'!$H$143</definedName>
    <definedName name="EE3_MAT" localSheetId="1">'[9]B - Captação_Elevação 1a Etapa '!#REF!</definedName>
    <definedName name="EE3_MAT">'[9]B - Captação_Elevação 1a Etapa '!#REF!</definedName>
    <definedName name="EE3_SERV" localSheetId="1">'[9]B - Captação_Elevação 1a Etapa '!#REF!</definedName>
    <definedName name="EE3_SERV">'[9]B - Captação_Elevação 1a Etapa '!#REF!</definedName>
    <definedName name="EEE" localSheetId="1">#REF!</definedName>
    <definedName name="EEE">#REF!</definedName>
    <definedName name="ELE1">#REF!</definedName>
    <definedName name="ELE2">#REF!</definedName>
    <definedName name="ELE3">#REF!</definedName>
    <definedName name="Elemento_vazado">"$#REF!.$#REF!$#REF!"</definedName>
    <definedName name="EMISS_1_MAT" localSheetId="1">#REF!</definedName>
    <definedName name="EMISS_1_MAT">#REF!</definedName>
    <definedName name="EMISS_1_SERV" localSheetId="1">#REF!</definedName>
    <definedName name="EMISS_1_SERV">#REF!</definedName>
    <definedName name="EMISS_2_MAT" localSheetId="1">#REF!</definedName>
    <definedName name="EMISS_2_MAT">#REF!</definedName>
    <definedName name="EMISS_2_SERV" localSheetId="1">#REF!</definedName>
    <definedName name="EMISS_2_SERV">#REF!</definedName>
    <definedName name="EMISS_2_SERV2" localSheetId="1">#REF!</definedName>
    <definedName name="EMISS_2_SERV2">#REF!</definedName>
    <definedName name="EMISS_3_MAT" localSheetId="1">#REF!</definedName>
    <definedName name="EMISS_3_MAT">#REF!</definedName>
    <definedName name="EMISS_3_SERV" localSheetId="1">#REF!</definedName>
    <definedName name="EMISS_3_SERV">#REF!</definedName>
    <definedName name="EMISSÁRIO1_MATERIAIS">'[8]EMISSÁRIO_'!$H$39</definedName>
    <definedName name="EMISSÁRIO1_SERVIÇOS">'[8]EMISSÁRIO_'!$H$9</definedName>
    <definedName name="EMISSÁRIO2_MATERIAIS">'[8]EMISSÁRIO_'!$H$80</definedName>
    <definedName name="EMISSÁRIO2_SERVIÇOS">'[8]EMISSÁRIO_'!$H$50</definedName>
    <definedName name="ert">#REF!</definedName>
    <definedName name="ESC_EMISS3_S" localSheetId="1">#REF!</definedName>
    <definedName name="ESC_EMISS3_S">#REF!</definedName>
    <definedName name="Escavação">"$#REF!.$#REF!$#REF!"</definedName>
    <definedName name="ESCORAMENTO" localSheetId="1">#REF!</definedName>
    <definedName name="ESCORAMENTO">#REF!</definedName>
    <definedName name="ESGOT_EMISS3_S" localSheetId="1">#REF!</definedName>
    <definedName name="ESGOT_EMISS3_S">#REF!</definedName>
    <definedName name="ESGOTAMENTO" localSheetId="1">#REF!</definedName>
    <definedName name="ESGOTAMENTO">#REF!</definedName>
    <definedName name="Esquadrias">"$#REF!.$#REF!$#REF!"</definedName>
    <definedName name="essc">#REF!</definedName>
    <definedName name="ew">#REF!</definedName>
    <definedName name="Excel_BuiltIn__FilterDatabase_1">"$#REF!.$A$8:$A$20"</definedName>
    <definedName name="Excel_BuiltIn__FilterDatabase_1_1">"$#REF!.$A$8:$A$20"</definedName>
    <definedName name="Excel_BuiltIn_Print_Area_1">"$#REF!.$A$2:$F$20"</definedName>
    <definedName name="Excel_BuiltIn_Print_Area_1_1">"$#REF!.$A$2:$C$13"</definedName>
    <definedName name="Excel_BuiltIn_Print_Area_15">"$#REF!.$B$2:$B$20"</definedName>
    <definedName name="Excel_BuiltIn_Print_Area_16_1">#REF!</definedName>
    <definedName name="Excel_BuiltIn_Print_Area_2_1">"$#REF!.$A$2:$B$18"</definedName>
    <definedName name="Excel_BuiltIn_Print_Area_3_1">#REF!</definedName>
    <definedName name="Excel_BuiltIn_Print_Area_3_1_1">"$#REF!.$A$2:$F$17"</definedName>
    <definedName name="Excel_BuiltIn_Print_Area_4_1">#REF!</definedName>
    <definedName name="Excel_BuiltIn_Print_Area_4_1_1">"$#REF!.$A$2:$B$16"</definedName>
    <definedName name="Excel_BuiltIn_Print_Area_43">"$#REF!.$A$2:$A$13"</definedName>
    <definedName name="Excel_BuiltIn_Print_Area_44">"$#REF!.$A$2:$II$65318"</definedName>
    <definedName name="Excel_BuiltIn_Print_Area_45_1">"$#REF!.$A$2:$A$20"</definedName>
    <definedName name="Excel_BuiltIn_Print_Area_5_1">"$#REF!.$A$8:$B$13"</definedName>
    <definedName name="Excel_BuiltIn_Print_Area_6_1">"$#REF!.$A$2:$B$15"</definedName>
    <definedName name="Excel_BuiltIn_Print_Titles_1">("$#REF!.$A$2:$C$65536~$#REF!.$A$2:$IP$4)")</definedName>
    <definedName name="Excel_BuiltIn_Print_Titles_2_1">NA()</definedName>
    <definedName name="Excel_BuiltIn_Print_Titles_2_1_1">("$#REF!.$A$2:$C$65462~$#REF!.$A$2:$IP$4)")</definedName>
    <definedName name="Excel_BuiltIn_Print_Titles_3" localSheetId="1">#REF!</definedName>
    <definedName name="Excel_BuiltIn_Print_Titles_3">#REF!</definedName>
    <definedName name="Excel_BuiltIn_Print_Titles_3_1">NA()</definedName>
    <definedName name="Excel_BuiltIn_Print_Titles_3_1_1">("$#REF!.$A$2:$C$65536~$#REF!.$A$2:$IP$4)")</definedName>
    <definedName name="Excel_BuiltIn_Print_Titles_4_1">#REF!</definedName>
    <definedName name="Excel_BuiltIn_Print_Titles_4_1_1">#REF!</definedName>
    <definedName name="EXTENSAO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TOR" localSheetId="1">#REF!</definedName>
    <definedName name="FATOR">#REF!</definedName>
    <definedName name="Ferro_CA60">"$#REF!.$#REF!$#REF!"</definedName>
    <definedName name="Filtro">"$#REF!.$#REF!$#REF!"</definedName>
    <definedName name="FORN_ACESS_EMISS" localSheetId="1">#REF!</definedName>
    <definedName name="FORN_ACESS_EMISS">#REF!</definedName>
    <definedName name="FORN_ACESS_EMISS2_M" localSheetId="1">#REF!</definedName>
    <definedName name="FORN_ACESS_EMISS2_M">#REF!</definedName>
    <definedName name="FORN_ACESS_EMISS3_M" localSheetId="1">#REF!</definedName>
    <definedName name="FORN_ACESS_EMISS3_M">#REF!</definedName>
    <definedName name="FORN_ACESS_REDE_COL" localSheetId="1">#REF!</definedName>
    <definedName name="FORN_ACESS_REDE_COL">#REF!</definedName>
    <definedName name="FORN_ACESSÓRIOS">#REF!</definedName>
    <definedName name="FORN_CON_EMISS3_M" localSheetId="1">#REF!</definedName>
    <definedName name="FORN_CON_EMISS3_M">#REF!</definedName>
    <definedName name="FORN_CONEX" localSheetId="1">#REF!</definedName>
    <definedName name="FORN_CONEX">#REF!</definedName>
    <definedName name="FORN_CONEX_EMISS" localSheetId="1">#REF!</definedName>
    <definedName name="FORN_CONEX_EMISS">#REF!</definedName>
    <definedName name="FORN_CONEX_PEÇAS" localSheetId="1">#REF!</definedName>
    <definedName name="FORN_CONEX_PEÇAS">#REF!</definedName>
    <definedName name="FORN_PEÇAS_EMISS2_M" localSheetId="1">#REF!</definedName>
    <definedName name="FORN_PEÇAS_EMISS2_M">#REF!</definedName>
    <definedName name="FORN_TUB_EMISS" localSheetId="1">#REF!</definedName>
    <definedName name="FORN_TUB_EMISS">#REF!</definedName>
    <definedName name="FORN_TUB_EMISS2_M" localSheetId="1">#REF!</definedName>
    <definedName name="FORN_TUB_EMISS2_M">#REF!</definedName>
    <definedName name="FORN_TUB_EMISS3_M" localSheetId="1">#REF!</definedName>
    <definedName name="FORN_TUB_EMISS3_M">#REF!</definedName>
    <definedName name="FORN_TUB_REDE_COL" localSheetId="1">#REF!</definedName>
    <definedName name="FORN_TUB_REDE_COL">#REF!</definedName>
    <definedName name="FORN_TUBU">#REF!</definedName>
    <definedName name="fornecer" localSheetId="1">#REF!</definedName>
    <definedName name="fornecer">#REF!</definedName>
    <definedName name="Fundação">"$#REF!.$#REF!$#REF!"</definedName>
    <definedName name="G_01" localSheetId="1">#REF!</definedName>
    <definedName name="G_01">#REF!</definedName>
    <definedName name="G_02">#REF!</definedName>
    <definedName name="G_03" localSheetId="1">#REF!</definedName>
    <definedName name="G_03">#REF!</definedName>
    <definedName name="G_04" localSheetId="1">#REF!</definedName>
    <definedName name="G_04">#REF!</definedName>
    <definedName name="G_05" localSheetId="1">#REF!</definedName>
    <definedName name="G_05">#REF!</definedName>
    <definedName name="G_06" localSheetId="1">#REF!</definedName>
    <definedName name="G_06">#REF!</definedName>
    <definedName name="G_07" localSheetId="1">#REF!</definedName>
    <definedName name="G_07">#REF!</definedName>
    <definedName name="G_08" localSheetId="1">#REF!</definedName>
    <definedName name="G_08">#REF!</definedName>
    <definedName name="G_09" localSheetId="1">#REF!</definedName>
    <definedName name="G_09">#REF!</definedName>
    <definedName name="G_10" localSheetId="1">#REF!</definedName>
    <definedName name="G_10">#REF!</definedName>
    <definedName name="G_11" localSheetId="1">#REF!</definedName>
    <definedName name="G_11">#REF!</definedName>
    <definedName name="G_12" localSheetId="1">#REF!</definedName>
    <definedName name="G_12">#REF!</definedName>
    <definedName name="G_13" localSheetId="1">#REF!</definedName>
    <definedName name="G_13">#REF!</definedName>
    <definedName name="G_14" localSheetId="1">#REF!</definedName>
    <definedName name="G_14">#REF!</definedName>
    <definedName name="G_15" localSheetId="1">#REF!</definedName>
    <definedName name="G_15">#REF!</definedName>
    <definedName name="G_E_O_T_E_C_H_N_I_Q_U_E" localSheetId="1">#REF!</definedName>
    <definedName name="G_E_O_T_E_C_H_N_I_Q_U_E">#REF!</definedName>
    <definedName name="GER">#REF!</definedName>
    <definedName name="geral">#REF!</definedName>
    <definedName name="HTML_CodePage" hidden="1">1252</definedName>
    <definedName name="HTML_Control" hidden="1">{"'Plan1'!$A$8:$F$68","'Plan1'!$A$8:$F$68"}</definedName>
    <definedName name="HTML_Description" hidden="1">""</definedName>
    <definedName name="HTML_Email" hidden="1">""</definedName>
    <definedName name="HTML_Header" hidden="1">"Plan1"</definedName>
    <definedName name="HTML_LastUpdate" hidden="1">"18/01/98"</definedName>
    <definedName name="HTML_LineAfter" hidden="1">FALSE</definedName>
    <definedName name="HTML_LineBefore" hidden="1">FALSE</definedName>
    <definedName name="HTML_Name" hidden="1">"Alberto de Castro"</definedName>
    <definedName name="HTML_OBDlg2" hidden="1">TRUE</definedName>
    <definedName name="HTML_OBDlg4" hidden="1">TRUE</definedName>
    <definedName name="HTML_OS" hidden="1">0</definedName>
    <definedName name="HTML_PathFile" hidden="1">"C:\MSOffice\Modelos\MeuHTML.htm"</definedName>
    <definedName name="HTML_Title" hidden="1">"UNIDADE SANITÁRIA PADRÃO"</definedName>
    <definedName name="i" localSheetId="1">#REF!</definedName>
    <definedName name="i">#REF!</definedName>
    <definedName name="Inst_elétricas">"$#REF!.$#REF!$#REF!"</definedName>
    <definedName name="Inst_hidráulicas">"$#REF!.$#REF!$#REF!"</definedName>
    <definedName name="INST_PROVISÓRIAS">#REF!</definedName>
    <definedName name="Inst_sanitárias">"$#REF!.$#REF!$#REF!"</definedName>
    <definedName name="K1_">#REF!</definedName>
    <definedName name="K2_">#REF!</definedName>
    <definedName name="K3_">#REF!</definedName>
    <definedName name="LASTRO_CONCRETO" localSheetId="1">#REF!</definedName>
    <definedName name="LASTRO_CONCRETO">#REF!</definedName>
    <definedName name="LASTRO_EMISS3_S" localSheetId="1">#REF!</definedName>
    <definedName name="LASTRO_EMISS3_S">#REF!</definedName>
    <definedName name="LDI">#REF!</definedName>
    <definedName name="LIG_PRED_SERV">#REF!</definedName>
    <definedName name="LIG_PREDIAIS_MAT">#REF!</definedName>
    <definedName name="LIGAÇÃO_PREDIAL_MATERIAL">'[8]ligação predial'!$H$19</definedName>
    <definedName name="LIGAÇÃO_PREDIAL_SERVIÇOS">'[8]ligação predial'!$H$9</definedName>
    <definedName name="LIGAÇÕES">#REF!</definedName>
    <definedName name="LOC_EMISS3" localSheetId="1">#REF!</definedName>
    <definedName name="LOC_EMISS3">#REF!</definedName>
    <definedName name="LOCAÇÃO">#REF!</definedName>
    <definedName name="LOCAÇÃO_EMISS" localSheetId="1">#REF!</definedName>
    <definedName name="LOCAÇÃO_EMISS">#REF!</definedName>
    <definedName name="LOCAÇÃO_EMISS2" localSheetId="1">#REF!</definedName>
    <definedName name="LOCAÇÃO_EMISS2">#REF!</definedName>
    <definedName name="LOTES">#REF!</definedName>
    <definedName name="Louças_acessórios">"$#REF!.$#REF!$#REF!"</definedName>
    <definedName name="Macro1">#REF!</definedName>
    <definedName name="Macro2">#REF!</definedName>
    <definedName name="mono" hidden="1">{"'Plan1'!$A$8:$F$68","'Plan1'!$A$8:$F$68"}</definedName>
    <definedName name="MOV_TERR_EMISS3_S" localSheetId="1">#REF!</definedName>
    <definedName name="MOV_TERR_EMISS3_S">#REF!</definedName>
    <definedName name="MOV_TERRA" localSheetId="1">#REF!</definedName>
    <definedName name="MOV_TERRA">#REF!</definedName>
    <definedName name="MOV_TERRA_EMISS" localSheetId="1">#REF!</definedName>
    <definedName name="MOV_TERRA_EMISS">#REF!</definedName>
    <definedName name="MOV_TERRA_EMISS2" localSheetId="1">#REF!</definedName>
    <definedName name="MOV_TERRA_EMISS2">#REF!</definedName>
    <definedName name="PAV_EMISS3_S" localSheetId="1">#REF!</definedName>
    <definedName name="PAV_EMISS3_S">#REF!</definedName>
    <definedName name="PAVIM_EMISS" localSheetId="1">#REF!</definedName>
    <definedName name="PAVIM_EMISS">#REF!</definedName>
    <definedName name="PAVIM_EMISS2" localSheetId="1">#REF!</definedName>
    <definedName name="PAVIM_EMISS2">#REF!</definedName>
    <definedName name="PAVIMENTAÇÃO" localSheetId="1">#REF!</definedName>
    <definedName name="PAVIMENTAÇÃO">#REF!</definedName>
    <definedName name="PERCAPITA">#REF!</definedName>
    <definedName name="Pia_cozinha">"$#REF!.$#REF!$#REF!"</definedName>
    <definedName name="Pilar">"$#REF!.$#REF!$#REF!"</definedName>
    <definedName name="Pintura_cal">"$#REF!.$#REF!$#REF!"</definedName>
    <definedName name="Pintura_óleo">"$#REF!.$#REF!$#REF!"</definedName>
    <definedName name="Piso_cimentado">"$#REF!.$#REF!$#REF!"</definedName>
    <definedName name="Placa_de_cimento">"$#REF!.$#REF!$#REF!"</definedName>
    <definedName name="PLACA_OBRA" localSheetId="1">#REF!</definedName>
    <definedName name="PLACA_OBRA">#REF!</definedName>
    <definedName name="POÇO_VISIT" localSheetId="1">#REF!</definedName>
    <definedName name="POÇO_VISIT">#REF!</definedName>
    <definedName name="Preço_Unitário">#REF!</definedName>
    <definedName name="_xlnm.Print_Area" localSheetId="11">'ANEXO PB  V Cotações'!$A$1:$E$58</definedName>
    <definedName name="_xlnm.Print_Area" localSheetId="12">'ANEXO PB  VI CALCULO BDI'!$A$1:$I$391</definedName>
    <definedName name="_xlnm.Print_Area" localSheetId="2">'ANEXO PB II Alto Alegre'!$A$1:$G$57</definedName>
    <definedName name="_xlnm.Print_Area" localSheetId="3">'ANEXO PB II Cantá'!$A$1:$G$46</definedName>
    <definedName name="_xlnm.Print_Area" localSheetId="8">'ANEXO PB II MUCAJAÍ'!$A$1:$G$29</definedName>
    <definedName name="_xlnm.Print_Area" localSheetId="1">'ANEXO PB II Penha brasil'!$A$1:$G$102</definedName>
    <definedName name="_xlnm.Print_Area" localSheetId="9">'ANEXO PB III Mem. de cálculo'!$A$1:$H$687</definedName>
    <definedName name="_xlnm.Print_Area" localSheetId="10">'ANEXO PB IV Comp. auxiliares'!$A$1:$F$139</definedName>
    <definedName name="_xlnm.Print_Area" localSheetId="14">'Cronograma'!$A$1:$L$70</definedName>
    <definedName name="_xlnm.Print_Area" localSheetId="0">'ANEXO PB I RESUMO'!$A$1:$D$16</definedName>
    <definedName name="Print_Area_MI" localSheetId="1">'[12]BDI'!#REF!</definedName>
    <definedName name="Print_Area_MI">'[12]BDI'!#REF!</definedName>
    <definedName name="_xlnm.Print_Titles" localSheetId="1">'ANEXO PB II Penha brasil'!$1:$11</definedName>
    <definedName name="Quantidade">#REF!</definedName>
    <definedName name="Radier">"$#REF!.$#REF!$#REF!"</definedName>
    <definedName name="Reaterro">"$#REF!.$#REF!$#REF!"</definedName>
    <definedName name="Reboco">"$#REF!.$#REF!$#REF!"</definedName>
    <definedName name="REDE_COLETORA_MAT" localSheetId="1">#REF!</definedName>
    <definedName name="REDE_COLETORA_MAT">#REF!</definedName>
    <definedName name="REDE_COLETORA_MATERIAL">'[8]REDE COLETORA'!$H$67</definedName>
    <definedName name="REDE_COLETORA_SERV">#REF!</definedName>
    <definedName name="REDE_COLETORA_SERVIÇOS">'[8]REDE COLETORA'!$H$9</definedName>
    <definedName name="sdf">#REF!</definedName>
    <definedName name="SG_01_01" localSheetId="1">#REF!</definedName>
    <definedName name="SG_01_01">#REF!</definedName>
    <definedName name="SG_01_02" localSheetId="1">#REF!</definedName>
    <definedName name="SG_01_02">#REF!</definedName>
    <definedName name="SG_01_03" localSheetId="1">#REF!</definedName>
    <definedName name="SG_01_03">#REF!</definedName>
    <definedName name="SG_01_04" localSheetId="1">#REF!</definedName>
    <definedName name="SG_01_04">#REF!</definedName>
    <definedName name="SG_01_05" localSheetId="1">#REF!</definedName>
    <definedName name="SG_01_05">#REF!</definedName>
    <definedName name="SG_01_06" localSheetId="1">#REF!</definedName>
    <definedName name="SG_01_06">#REF!</definedName>
    <definedName name="SG_01_07" localSheetId="1">#REF!</definedName>
    <definedName name="SG_01_07">#REF!</definedName>
    <definedName name="SG_01_08" localSheetId="1">#REF!</definedName>
    <definedName name="SG_01_08">#REF!</definedName>
    <definedName name="SG_01_09" localSheetId="1">#REF!</definedName>
    <definedName name="SG_01_09">#REF!</definedName>
    <definedName name="SG_01_10" localSheetId="1">#REF!</definedName>
    <definedName name="SG_01_10">#REF!</definedName>
    <definedName name="SG_01_11" localSheetId="1">#REF!</definedName>
    <definedName name="SG_01_11">#REF!</definedName>
    <definedName name="SG_01_12" localSheetId="1">#REF!</definedName>
    <definedName name="SG_01_12">#REF!</definedName>
    <definedName name="SG_01_13" localSheetId="1">#REF!</definedName>
    <definedName name="SG_01_13">#REF!</definedName>
    <definedName name="SG_01_14" localSheetId="1">#REF!</definedName>
    <definedName name="SG_01_14">#REF!</definedName>
    <definedName name="SG_01_15" localSheetId="1">#REF!</definedName>
    <definedName name="SG_01_15">#REF!</definedName>
    <definedName name="SG_02_01">#REF!</definedName>
    <definedName name="SG_02_02" localSheetId="1">#REF!</definedName>
    <definedName name="SG_02_02">#REF!</definedName>
    <definedName name="SG_02_03" localSheetId="1">#REF!</definedName>
    <definedName name="SG_02_03">#REF!</definedName>
    <definedName name="SG_02_04" localSheetId="1">#REF!</definedName>
    <definedName name="SG_02_04">#REF!</definedName>
    <definedName name="SG_02_05" localSheetId="1">#REF!</definedName>
    <definedName name="SG_02_05">#REF!</definedName>
    <definedName name="SG_02_06" localSheetId="1">#REF!</definedName>
    <definedName name="SG_02_06">#REF!</definedName>
    <definedName name="SG_02_07" localSheetId="1">#REF!</definedName>
    <definedName name="SG_02_07">#REF!</definedName>
    <definedName name="SG_02_08" localSheetId="1">#REF!</definedName>
    <definedName name="SG_02_08">#REF!</definedName>
    <definedName name="SG_02_09" localSheetId="1">#REF!</definedName>
    <definedName name="SG_02_09">#REF!</definedName>
    <definedName name="SG_02_10" localSheetId="1">#REF!</definedName>
    <definedName name="SG_02_10">#REF!</definedName>
    <definedName name="SG_02_11" localSheetId="1">#REF!</definedName>
    <definedName name="SG_02_11">#REF!</definedName>
    <definedName name="SG_02_12" localSheetId="1">#REF!</definedName>
    <definedName name="SG_02_12">#REF!</definedName>
    <definedName name="SG_02_13" localSheetId="1">#REF!</definedName>
    <definedName name="SG_02_13">#REF!</definedName>
    <definedName name="SG_02_14" localSheetId="1">#REF!</definedName>
    <definedName name="SG_02_14">#REF!</definedName>
    <definedName name="SG_02_15" localSheetId="1">#REF!</definedName>
    <definedName name="SG_02_15">#REF!</definedName>
    <definedName name="SG_03_01" localSheetId="1">#REF!</definedName>
    <definedName name="SG_03_01">#REF!</definedName>
    <definedName name="SG_03_02" localSheetId="1">#REF!</definedName>
    <definedName name="SG_03_02">#REF!</definedName>
    <definedName name="SG_03_03" localSheetId="1">#REF!</definedName>
    <definedName name="SG_03_03">#REF!</definedName>
    <definedName name="SG_03_04" localSheetId="1">#REF!</definedName>
    <definedName name="SG_03_04">#REF!</definedName>
    <definedName name="SG_03_05" localSheetId="1">#REF!</definedName>
    <definedName name="SG_03_05">#REF!</definedName>
    <definedName name="SG_03_06" localSheetId="1">#REF!</definedName>
    <definedName name="SG_03_06">#REF!</definedName>
    <definedName name="SG_03_07" localSheetId="1">#REF!</definedName>
    <definedName name="SG_03_07">#REF!</definedName>
    <definedName name="SG_03_08" localSheetId="1">#REF!</definedName>
    <definedName name="SG_03_08">#REF!</definedName>
    <definedName name="SG_03_09" localSheetId="1">#REF!</definedName>
    <definedName name="SG_03_09">#REF!</definedName>
    <definedName name="SG_03_10" localSheetId="1">#REF!</definedName>
    <definedName name="SG_03_10">#REF!</definedName>
    <definedName name="SG_03_11" localSheetId="1">#REF!</definedName>
    <definedName name="SG_03_11">#REF!</definedName>
    <definedName name="SG_03_12" localSheetId="1">#REF!</definedName>
    <definedName name="SG_03_12">#REF!</definedName>
    <definedName name="SG_03_13" localSheetId="1">#REF!</definedName>
    <definedName name="SG_03_13">#REF!</definedName>
    <definedName name="SG_03_14" localSheetId="1">#REF!</definedName>
    <definedName name="SG_03_14">#REF!</definedName>
    <definedName name="SG_03_15" localSheetId="1">#REF!</definedName>
    <definedName name="SG_03_15">#REF!</definedName>
    <definedName name="SG_03_17" localSheetId="1">#REF!</definedName>
    <definedName name="SG_03_17">#REF!</definedName>
    <definedName name="SG_03_18" localSheetId="1">#REF!</definedName>
    <definedName name="SG_03_18">#REF!</definedName>
    <definedName name="SG_04_01" localSheetId="1">#REF!</definedName>
    <definedName name="SG_04_01">#REF!</definedName>
    <definedName name="SG_04_02" localSheetId="1">#REF!</definedName>
    <definedName name="SG_04_02">#REF!</definedName>
    <definedName name="SG_04_03" localSheetId="1">#REF!</definedName>
    <definedName name="SG_04_03">#REF!</definedName>
    <definedName name="SG_04_04" localSheetId="1">#REF!</definedName>
    <definedName name="SG_04_04">#REF!</definedName>
    <definedName name="SG_04_05" localSheetId="1">#REF!</definedName>
    <definedName name="SG_04_05">#REF!</definedName>
    <definedName name="SG_04_06" localSheetId="1">#REF!</definedName>
    <definedName name="SG_04_06">#REF!</definedName>
    <definedName name="SG_04_07" localSheetId="1">#REF!</definedName>
    <definedName name="SG_04_07">#REF!</definedName>
    <definedName name="SG_04_08" localSheetId="1">#REF!</definedName>
    <definedName name="SG_04_08">#REF!</definedName>
    <definedName name="SG_04_09" localSheetId="1">#REF!</definedName>
    <definedName name="SG_04_09">#REF!</definedName>
    <definedName name="SG_04_10" localSheetId="1">#REF!</definedName>
    <definedName name="SG_04_10">#REF!</definedName>
    <definedName name="SG_04_11" localSheetId="1">#REF!</definedName>
    <definedName name="SG_04_11">#REF!</definedName>
    <definedName name="SG_04_12" localSheetId="1">#REF!</definedName>
    <definedName name="SG_04_12">#REF!</definedName>
    <definedName name="SG_04_13" localSheetId="1">#REF!</definedName>
    <definedName name="SG_04_13">#REF!</definedName>
    <definedName name="SG_04_14" localSheetId="1">#REF!</definedName>
    <definedName name="SG_04_14">#REF!</definedName>
    <definedName name="SG_04_15" localSheetId="1">#REF!</definedName>
    <definedName name="SG_04_15">#REF!</definedName>
    <definedName name="SG_05_01" localSheetId="1">#REF!</definedName>
    <definedName name="SG_05_01">#REF!</definedName>
    <definedName name="SG_05_02" localSheetId="1">#REF!</definedName>
    <definedName name="SG_05_02">#REF!</definedName>
    <definedName name="SG_05_03" localSheetId="1">#REF!</definedName>
    <definedName name="SG_05_03">#REF!</definedName>
    <definedName name="SG_05_04" localSheetId="1">#REF!</definedName>
    <definedName name="SG_05_04">#REF!</definedName>
    <definedName name="SG_05_05" localSheetId="1">#REF!</definedName>
    <definedName name="SG_05_05">#REF!</definedName>
    <definedName name="SG_05_06" localSheetId="1">#REF!</definedName>
    <definedName name="SG_05_06">#REF!</definedName>
    <definedName name="SG_05_07" localSheetId="1">#REF!</definedName>
    <definedName name="SG_05_07">#REF!</definedName>
    <definedName name="SG_05_08" localSheetId="1">#REF!</definedName>
    <definedName name="SG_05_08">#REF!</definedName>
    <definedName name="SG_05_09" localSheetId="1">#REF!</definedName>
    <definedName name="SG_05_09">#REF!</definedName>
    <definedName name="SG_05_10" localSheetId="1">#REF!</definedName>
    <definedName name="SG_05_10">#REF!</definedName>
    <definedName name="SG_05_11" localSheetId="1">#REF!</definedName>
    <definedName name="SG_05_11">#REF!</definedName>
    <definedName name="SG_05_12" localSheetId="1">#REF!</definedName>
    <definedName name="SG_05_12">#REF!</definedName>
    <definedName name="SG_05_13" localSheetId="1">#REF!</definedName>
    <definedName name="SG_05_13">#REF!</definedName>
    <definedName name="SG_05_14" localSheetId="1">#REF!</definedName>
    <definedName name="SG_05_14">#REF!</definedName>
    <definedName name="SG_05_15" localSheetId="1">#REF!</definedName>
    <definedName name="SG_05_15">#REF!</definedName>
    <definedName name="SG_06_01" localSheetId="1">#REF!</definedName>
    <definedName name="SG_06_01">#REF!</definedName>
    <definedName name="SG_06_02" localSheetId="1">#REF!</definedName>
    <definedName name="SG_06_02">#REF!</definedName>
    <definedName name="SG_06_03" localSheetId="1">#REF!</definedName>
    <definedName name="SG_06_03">#REF!</definedName>
    <definedName name="SG_06_04" localSheetId="1">#REF!</definedName>
    <definedName name="SG_06_04">#REF!</definedName>
    <definedName name="SG_06_05" localSheetId="1">#REF!</definedName>
    <definedName name="SG_06_05">#REF!</definedName>
    <definedName name="SG_06_06" localSheetId="1">#REF!</definedName>
    <definedName name="SG_06_06">#REF!</definedName>
    <definedName name="SG_06_07" localSheetId="1">#REF!</definedName>
    <definedName name="SG_06_07">#REF!</definedName>
    <definedName name="SG_06_08" localSheetId="1">#REF!</definedName>
    <definedName name="SG_06_08">#REF!</definedName>
    <definedName name="SG_06_09" localSheetId="1">#REF!</definedName>
    <definedName name="SG_06_09">#REF!</definedName>
    <definedName name="SG_06_10" localSheetId="1">#REF!</definedName>
    <definedName name="SG_06_10">#REF!</definedName>
    <definedName name="SG_06_11" localSheetId="1">#REF!</definedName>
    <definedName name="SG_06_11">#REF!</definedName>
    <definedName name="SG_06_12" localSheetId="1">#REF!</definedName>
    <definedName name="SG_06_12">#REF!</definedName>
    <definedName name="SG_06_13" localSheetId="1">#REF!</definedName>
    <definedName name="SG_06_13">#REF!</definedName>
    <definedName name="SG_06_14" localSheetId="1">#REF!</definedName>
    <definedName name="SG_06_14">#REF!</definedName>
    <definedName name="SG_06_15" localSheetId="1">#REF!</definedName>
    <definedName name="SG_06_15">#REF!</definedName>
    <definedName name="SG_07_01" localSheetId="1">#REF!</definedName>
    <definedName name="SG_07_01">#REF!</definedName>
    <definedName name="SG_07_02" localSheetId="1">#REF!</definedName>
    <definedName name="SG_07_02">#REF!</definedName>
    <definedName name="SG_07_03" localSheetId="1">#REF!</definedName>
    <definedName name="SG_07_03">#REF!</definedName>
    <definedName name="SG_07_04" localSheetId="1">#REF!</definedName>
    <definedName name="SG_07_04">#REF!</definedName>
    <definedName name="SG_07_05" localSheetId="1">#REF!</definedName>
    <definedName name="SG_07_05">#REF!</definedName>
    <definedName name="SG_07_06" localSheetId="1">#REF!</definedName>
    <definedName name="SG_07_06">#REF!</definedName>
    <definedName name="SG_07_07" localSheetId="1">#REF!</definedName>
    <definedName name="SG_07_07">#REF!</definedName>
    <definedName name="SG_07_08" localSheetId="1">#REF!</definedName>
    <definedName name="SG_07_08">#REF!</definedName>
    <definedName name="SG_07_09" localSheetId="1">#REF!</definedName>
    <definedName name="SG_07_09">#REF!</definedName>
    <definedName name="SG_07_10" localSheetId="1">#REF!</definedName>
    <definedName name="SG_07_10">#REF!</definedName>
    <definedName name="SG_07_11" localSheetId="1">#REF!</definedName>
    <definedName name="SG_07_11">#REF!</definedName>
    <definedName name="SG_07_12" localSheetId="1">#REF!</definedName>
    <definedName name="SG_07_12">#REF!</definedName>
    <definedName name="SG_07_13" localSheetId="1">#REF!</definedName>
    <definedName name="SG_07_13">#REF!</definedName>
    <definedName name="SG_07_14" localSheetId="1">#REF!</definedName>
    <definedName name="SG_07_14">#REF!</definedName>
    <definedName name="SG_07_15" localSheetId="1">#REF!</definedName>
    <definedName name="SG_07_15">#REF!</definedName>
    <definedName name="SG_08_01" localSheetId="1">#REF!</definedName>
    <definedName name="SG_08_01">#REF!</definedName>
    <definedName name="SG_08_02" localSheetId="1">#REF!</definedName>
    <definedName name="SG_08_02">#REF!</definedName>
    <definedName name="SG_08_03" localSheetId="1">#REF!</definedName>
    <definedName name="SG_08_03">#REF!</definedName>
    <definedName name="SG_08_04" localSheetId="1">#REF!</definedName>
    <definedName name="SG_08_04">#REF!</definedName>
    <definedName name="SG_08_05" localSheetId="1">#REF!</definedName>
    <definedName name="SG_08_05">#REF!</definedName>
    <definedName name="SG_08_06" localSheetId="1">#REF!</definedName>
    <definedName name="SG_08_06">#REF!</definedName>
    <definedName name="SG_08_07" localSheetId="1">#REF!</definedName>
    <definedName name="SG_08_07">#REF!</definedName>
    <definedName name="SG_08_08" localSheetId="1">#REF!</definedName>
    <definedName name="SG_08_08">#REF!</definedName>
    <definedName name="SG_08_09" localSheetId="1">#REF!</definedName>
    <definedName name="SG_08_09">#REF!</definedName>
    <definedName name="SG_08_10" localSheetId="1">#REF!</definedName>
    <definedName name="SG_08_10">#REF!</definedName>
    <definedName name="SG_08_11" localSheetId="1">#REF!</definedName>
    <definedName name="SG_08_11">#REF!</definedName>
    <definedName name="SG_08_12" localSheetId="1">#REF!</definedName>
    <definedName name="SG_08_12">#REF!</definedName>
    <definedName name="SG_08_13" localSheetId="1">#REF!</definedName>
    <definedName name="SG_08_13">#REF!</definedName>
    <definedName name="SG_08_14" localSheetId="1">#REF!</definedName>
    <definedName name="SG_08_14">#REF!</definedName>
    <definedName name="SG_08_15" localSheetId="1">#REF!</definedName>
    <definedName name="SG_08_15">#REF!</definedName>
    <definedName name="SG_09_01" localSheetId="1">#REF!</definedName>
    <definedName name="SG_09_01">#REF!</definedName>
    <definedName name="SG_09_02" localSheetId="1">#REF!</definedName>
    <definedName name="SG_09_02">#REF!</definedName>
    <definedName name="SG_09_03" localSheetId="1">#REF!</definedName>
    <definedName name="SG_09_03">#REF!</definedName>
    <definedName name="SG_09_04" localSheetId="1">#REF!</definedName>
    <definedName name="SG_09_04">#REF!</definedName>
    <definedName name="SG_09_05" localSheetId="1">#REF!</definedName>
    <definedName name="SG_09_05">#REF!</definedName>
    <definedName name="SG_09_06" localSheetId="1">#REF!</definedName>
    <definedName name="SG_09_06">#REF!</definedName>
    <definedName name="SG_09_07" localSheetId="1">#REF!</definedName>
    <definedName name="SG_09_07">#REF!</definedName>
    <definedName name="SG_09_08" localSheetId="1">#REF!</definedName>
    <definedName name="SG_09_08">#REF!</definedName>
    <definedName name="SG_09_09" localSheetId="1">#REF!</definedName>
    <definedName name="SG_09_09">#REF!</definedName>
    <definedName name="SG_09_10" localSheetId="1">#REF!</definedName>
    <definedName name="SG_09_10">#REF!</definedName>
    <definedName name="SG_09_11" localSheetId="1">#REF!</definedName>
    <definedName name="SG_09_11">#REF!</definedName>
    <definedName name="SG_09_12" localSheetId="1">#REF!</definedName>
    <definedName name="SG_09_12">#REF!</definedName>
    <definedName name="SG_09_13" localSheetId="1">#REF!</definedName>
    <definedName name="SG_09_13">#REF!</definedName>
    <definedName name="SG_09_14" localSheetId="1">#REF!</definedName>
    <definedName name="SG_09_14">#REF!</definedName>
    <definedName name="SG_09_15" localSheetId="1">#REF!</definedName>
    <definedName name="SG_09_15">#REF!</definedName>
    <definedName name="SG_10_01" localSheetId="1">#REF!</definedName>
    <definedName name="SG_10_01">#REF!</definedName>
    <definedName name="SG_10_02" localSheetId="1">#REF!</definedName>
    <definedName name="SG_10_02">#REF!</definedName>
    <definedName name="SG_10_03" localSheetId="1">#REF!</definedName>
    <definedName name="SG_10_03">#REF!</definedName>
    <definedName name="SG_10_04" localSheetId="1">#REF!</definedName>
    <definedName name="SG_10_04">#REF!</definedName>
    <definedName name="SG_10_05" localSheetId="1">#REF!</definedName>
    <definedName name="SG_10_05">#REF!</definedName>
    <definedName name="SG_10_06" localSheetId="1">#REF!</definedName>
    <definedName name="SG_10_06">#REF!</definedName>
    <definedName name="SG_10_07" localSheetId="1">#REF!</definedName>
    <definedName name="SG_10_07">#REF!</definedName>
    <definedName name="SG_10_08" localSheetId="1">#REF!</definedName>
    <definedName name="SG_10_08">#REF!</definedName>
    <definedName name="SG_10_09" localSheetId="1">#REF!</definedName>
    <definedName name="SG_10_09">#REF!</definedName>
    <definedName name="SG_10_10" localSheetId="1">#REF!</definedName>
    <definedName name="SG_10_10">#REF!</definedName>
    <definedName name="SG_10_11" localSheetId="1">#REF!</definedName>
    <definedName name="SG_10_11">#REF!</definedName>
    <definedName name="SG_10_12" localSheetId="1">#REF!</definedName>
    <definedName name="SG_10_12">#REF!</definedName>
    <definedName name="SG_10_13" localSheetId="1">#REF!</definedName>
    <definedName name="SG_10_13">#REF!</definedName>
    <definedName name="SG_10_14" localSheetId="1">#REF!</definedName>
    <definedName name="SG_10_14">#REF!</definedName>
    <definedName name="SG_10_15" localSheetId="1">#REF!</definedName>
    <definedName name="SG_10_15">#REF!</definedName>
    <definedName name="SG_11_01" localSheetId="1">#REF!</definedName>
    <definedName name="SG_11_01">#REF!</definedName>
    <definedName name="SG_11_02" localSheetId="1">#REF!</definedName>
    <definedName name="SG_11_02">#REF!</definedName>
    <definedName name="SG_11_03" localSheetId="1">#REF!</definedName>
    <definedName name="SG_11_03">#REF!</definedName>
    <definedName name="SG_11_04" localSheetId="1">#REF!</definedName>
    <definedName name="SG_11_04">#REF!</definedName>
    <definedName name="SG_11_05" localSheetId="1">#REF!</definedName>
    <definedName name="SG_11_05">#REF!</definedName>
    <definedName name="SG_11_06" localSheetId="1">#REF!</definedName>
    <definedName name="SG_11_06">#REF!</definedName>
    <definedName name="SG_11_07" localSheetId="1">#REF!</definedName>
    <definedName name="SG_11_07">#REF!</definedName>
    <definedName name="SG_11_08" localSheetId="1">#REF!</definedName>
    <definedName name="SG_11_08">#REF!</definedName>
    <definedName name="SG_11_09" localSheetId="1">#REF!</definedName>
    <definedName name="SG_11_09">#REF!</definedName>
    <definedName name="SG_11_10" localSheetId="1">#REF!</definedName>
    <definedName name="SG_11_10">#REF!</definedName>
    <definedName name="SG_11_11" localSheetId="1">#REF!</definedName>
    <definedName name="SG_11_11">#REF!</definedName>
    <definedName name="SG_11_12" localSheetId="1">#REF!</definedName>
    <definedName name="SG_11_12">#REF!</definedName>
    <definedName name="SG_11_13" localSheetId="1">#REF!</definedName>
    <definedName name="SG_11_13">#REF!</definedName>
    <definedName name="SG_11_14" localSheetId="1">#REF!</definedName>
    <definedName name="SG_11_14">#REF!</definedName>
    <definedName name="SG_11_15" localSheetId="1">#REF!</definedName>
    <definedName name="SG_11_15">#REF!</definedName>
    <definedName name="SG_12_01" localSheetId="1">#REF!</definedName>
    <definedName name="SG_12_01">#REF!</definedName>
    <definedName name="SG_12_02" localSheetId="1">#REF!</definedName>
    <definedName name="SG_12_02">#REF!</definedName>
    <definedName name="SG_12_03" localSheetId="1">#REF!</definedName>
    <definedName name="SG_12_03">#REF!</definedName>
    <definedName name="SG_12_04" localSheetId="1">#REF!</definedName>
    <definedName name="SG_12_04">#REF!</definedName>
    <definedName name="SG_12_05" localSheetId="1">#REF!</definedName>
    <definedName name="SG_12_05">#REF!</definedName>
    <definedName name="SG_12_06" localSheetId="1">#REF!</definedName>
    <definedName name="SG_12_06">#REF!</definedName>
    <definedName name="SG_12_07" localSheetId="1">#REF!</definedName>
    <definedName name="SG_12_07">#REF!</definedName>
    <definedName name="SG_12_08" localSheetId="1">#REF!</definedName>
    <definedName name="SG_12_08">#REF!</definedName>
    <definedName name="SG_12_09" localSheetId="1">#REF!</definedName>
    <definedName name="SG_12_09">#REF!</definedName>
    <definedName name="SG_12_10" localSheetId="1">#REF!</definedName>
    <definedName name="SG_12_10">#REF!</definedName>
    <definedName name="SG_12_11" localSheetId="1">#REF!</definedName>
    <definedName name="SG_12_11">#REF!</definedName>
    <definedName name="SG_12_12" localSheetId="1">#REF!</definedName>
    <definedName name="SG_12_12">#REF!</definedName>
    <definedName name="SG_12_13" localSheetId="1">#REF!</definedName>
    <definedName name="SG_12_13">#REF!</definedName>
    <definedName name="SG_12_14" localSheetId="1">#REF!</definedName>
    <definedName name="SG_12_14">#REF!</definedName>
    <definedName name="SG_12_15" localSheetId="1">#REF!</definedName>
    <definedName name="SG_12_15">#REF!</definedName>
    <definedName name="SG_12_16" localSheetId="1">#REF!</definedName>
    <definedName name="SG_12_16">#REF!</definedName>
    <definedName name="SG_12_17" localSheetId="1">#REF!</definedName>
    <definedName name="SG_12_17">#REF!</definedName>
    <definedName name="SG_12_18" localSheetId="1">#REF!</definedName>
    <definedName name="SG_12_18">#REF!</definedName>
    <definedName name="SG_12_19" localSheetId="1">#REF!</definedName>
    <definedName name="SG_12_19">#REF!</definedName>
    <definedName name="SG_12_20" localSheetId="1">#REF!</definedName>
    <definedName name="SG_12_20">#REF!</definedName>
    <definedName name="SG_12_21" localSheetId="1">#REF!</definedName>
    <definedName name="SG_12_21">#REF!</definedName>
    <definedName name="SG_12_22" localSheetId="1">#REF!</definedName>
    <definedName name="SG_12_22">#REF!</definedName>
    <definedName name="SG_12_23" localSheetId="1">#REF!</definedName>
    <definedName name="SG_12_23">#REF!</definedName>
    <definedName name="SG_12_24" localSheetId="1">#REF!</definedName>
    <definedName name="SG_12_24">#REF!</definedName>
    <definedName name="SG_12_25" localSheetId="1">#REF!</definedName>
    <definedName name="SG_12_25">#REF!</definedName>
    <definedName name="SG_13_01" localSheetId="1">#REF!</definedName>
    <definedName name="SG_13_01">#REF!</definedName>
    <definedName name="SG_13_02" localSheetId="1">#REF!</definedName>
    <definedName name="SG_13_02">#REF!</definedName>
    <definedName name="SG_13_03" localSheetId="1">#REF!</definedName>
    <definedName name="SG_13_03">#REF!</definedName>
    <definedName name="SG_13_04" localSheetId="1">#REF!</definedName>
    <definedName name="SG_13_04">#REF!</definedName>
    <definedName name="SG_13_05" localSheetId="1">#REF!</definedName>
    <definedName name="SG_13_05">#REF!</definedName>
    <definedName name="SG_13_06" localSheetId="1">#REF!</definedName>
    <definedName name="SG_13_06">#REF!</definedName>
    <definedName name="SG_13_07" localSheetId="1">#REF!</definedName>
    <definedName name="SG_13_07">#REF!</definedName>
    <definedName name="SG_13_08" localSheetId="1">#REF!</definedName>
    <definedName name="SG_13_08">#REF!</definedName>
    <definedName name="SG_13_09" localSheetId="1">#REF!</definedName>
    <definedName name="SG_13_09">#REF!</definedName>
    <definedName name="SG_13_10" localSheetId="1">#REF!</definedName>
    <definedName name="SG_13_10">#REF!</definedName>
    <definedName name="SG_13_11" localSheetId="1">#REF!</definedName>
    <definedName name="SG_13_11">#REF!</definedName>
    <definedName name="SG_13_12" localSheetId="1">#REF!</definedName>
    <definedName name="SG_13_12">#REF!</definedName>
    <definedName name="SG_13_13" localSheetId="1">#REF!</definedName>
    <definedName name="SG_13_13">#REF!</definedName>
    <definedName name="SG_13_14" localSheetId="1">#REF!</definedName>
    <definedName name="SG_13_14">#REF!</definedName>
    <definedName name="SG_13_15" localSheetId="1">#REF!</definedName>
    <definedName name="SG_13_15">#REF!</definedName>
    <definedName name="SG_13_16" localSheetId="1">#REF!</definedName>
    <definedName name="SG_13_16">#REF!</definedName>
    <definedName name="SG_13_17" localSheetId="1">#REF!</definedName>
    <definedName name="SG_13_17">#REF!</definedName>
    <definedName name="SG_13_18" localSheetId="1">#REF!</definedName>
    <definedName name="SG_13_18">#REF!</definedName>
    <definedName name="SG_13_19" localSheetId="1">#REF!</definedName>
    <definedName name="SG_13_19">#REF!</definedName>
    <definedName name="SG_13_20" localSheetId="1">#REF!</definedName>
    <definedName name="SG_13_20">#REF!</definedName>
    <definedName name="SG_13_21" localSheetId="1">#REF!</definedName>
    <definedName name="SG_13_21">#REF!</definedName>
    <definedName name="SG_13_22" localSheetId="1">#REF!</definedName>
    <definedName name="SG_13_22">#REF!</definedName>
    <definedName name="SG_13_23" localSheetId="1">#REF!</definedName>
    <definedName name="SG_13_23">#REF!</definedName>
    <definedName name="SG_13_24" localSheetId="1">#REF!</definedName>
    <definedName name="SG_13_24">#REF!</definedName>
    <definedName name="SG_13_25" localSheetId="1">#REF!</definedName>
    <definedName name="SG_13_25">#REF!</definedName>
    <definedName name="SG_14_01" localSheetId="1">#REF!</definedName>
    <definedName name="SG_14_01">#REF!</definedName>
    <definedName name="SG_14_02" localSheetId="1">#REF!</definedName>
    <definedName name="SG_14_02">#REF!</definedName>
    <definedName name="SG_14_03" localSheetId="1">#REF!</definedName>
    <definedName name="SG_14_03">#REF!</definedName>
    <definedName name="SG_14_04" localSheetId="1">#REF!</definedName>
    <definedName name="SG_14_04">#REF!</definedName>
    <definedName name="SG_14_05" localSheetId="1">#REF!</definedName>
    <definedName name="SG_14_05">#REF!</definedName>
    <definedName name="SG_14_06" localSheetId="1">#REF!</definedName>
    <definedName name="SG_14_06">#REF!</definedName>
    <definedName name="SG_14_07" localSheetId="1">#REF!</definedName>
    <definedName name="SG_14_07">#REF!</definedName>
    <definedName name="SG_14_08" localSheetId="1">#REF!</definedName>
    <definedName name="SG_14_08">#REF!</definedName>
    <definedName name="SG_14_09" localSheetId="1">#REF!</definedName>
    <definedName name="SG_14_09">#REF!</definedName>
    <definedName name="SG_14_10" localSheetId="1">#REF!</definedName>
    <definedName name="SG_14_10">#REF!</definedName>
    <definedName name="SG_14_11" localSheetId="1">#REF!</definedName>
    <definedName name="SG_14_11">#REF!</definedName>
    <definedName name="SG_14_12" localSheetId="1">#REF!</definedName>
    <definedName name="SG_14_12">#REF!</definedName>
    <definedName name="SG_14_13" localSheetId="1">#REF!</definedName>
    <definedName name="SG_14_13">#REF!</definedName>
    <definedName name="SG_14_14" localSheetId="1">#REF!</definedName>
    <definedName name="SG_14_14">#REF!</definedName>
    <definedName name="SG_14_15" localSheetId="1">#REF!</definedName>
    <definedName name="SG_14_15">#REF!</definedName>
    <definedName name="SG_14_16" localSheetId="1">#REF!</definedName>
    <definedName name="SG_14_16">#REF!</definedName>
    <definedName name="SG_14_17" localSheetId="1">#REF!</definedName>
    <definedName name="SG_14_17">#REF!</definedName>
    <definedName name="SG_14_18" localSheetId="1">#REF!</definedName>
    <definedName name="SG_14_18">#REF!</definedName>
    <definedName name="SG_14_19" localSheetId="1">#REF!</definedName>
    <definedName name="SG_14_19">#REF!</definedName>
    <definedName name="SG_14_20" localSheetId="1">#REF!</definedName>
    <definedName name="SG_14_20">#REF!</definedName>
    <definedName name="SG_14_21" localSheetId="1">#REF!</definedName>
    <definedName name="SG_14_21">#REF!</definedName>
    <definedName name="SG_14_22" localSheetId="1">#REF!</definedName>
    <definedName name="SG_14_22">#REF!</definedName>
    <definedName name="SG_14_23" localSheetId="1">#REF!</definedName>
    <definedName name="SG_14_23">#REF!</definedName>
    <definedName name="SG_14_24" localSheetId="1">#REF!</definedName>
    <definedName name="SG_14_24">#REF!</definedName>
    <definedName name="SG_14_25" localSheetId="1">#REF!</definedName>
    <definedName name="SG_14_25">#REF!</definedName>
    <definedName name="SG_15_01" localSheetId="1">#REF!</definedName>
    <definedName name="SG_15_01">#REF!</definedName>
    <definedName name="SG_15_02" localSheetId="1">#REF!</definedName>
    <definedName name="SG_15_02">#REF!</definedName>
    <definedName name="SG_15_03" localSheetId="1">#REF!</definedName>
    <definedName name="SG_15_03">#REF!</definedName>
    <definedName name="SG_15_04" localSheetId="1">#REF!</definedName>
    <definedName name="SG_15_04">#REF!</definedName>
    <definedName name="SG_15_05" localSheetId="1">#REF!</definedName>
    <definedName name="SG_15_05">#REF!</definedName>
    <definedName name="SG_15_06" localSheetId="1">#REF!</definedName>
    <definedName name="SG_15_06">#REF!</definedName>
    <definedName name="SG_15_07" localSheetId="1">#REF!</definedName>
    <definedName name="SG_15_07">#REF!</definedName>
    <definedName name="SG_15_08" localSheetId="1">#REF!</definedName>
    <definedName name="SG_15_08">#REF!</definedName>
    <definedName name="SG_15_09" localSheetId="1">#REF!</definedName>
    <definedName name="SG_15_09">#REF!</definedName>
    <definedName name="SG_15_10" localSheetId="1">#REF!</definedName>
    <definedName name="SG_15_10">#REF!</definedName>
    <definedName name="SG_15_11" localSheetId="1">#REF!</definedName>
    <definedName name="SG_15_11">#REF!</definedName>
    <definedName name="SG_15_12" localSheetId="1">#REF!</definedName>
    <definedName name="SG_15_12">#REF!</definedName>
    <definedName name="SG_15_13" localSheetId="1">#REF!</definedName>
    <definedName name="SG_15_13">#REF!</definedName>
    <definedName name="SG_15_14" localSheetId="1">#REF!</definedName>
    <definedName name="SG_15_14">#REF!</definedName>
    <definedName name="SG_15_15" localSheetId="1">#REF!</definedName>
    <definedName name="SG_15_15">#REF!</definedName>
    <definedName name="SG_15_16" localSheetId="1">#REF!</definedName>
    <definedName name="SG_15_16">#REF!</definedName>
    <definedName name="SG_15_17" localSheetId="1">#REF!</definedName>
    <definedName name="SG_15_17">#REF!</definedName>
    <definedName name="SG_15_18" localSheetId="1">#REF!</definedName>
    <definedName name="SG_15_18">#REF!</definedName>
    <definedName name="SG_15_19" localSheetId="1">#REF!</definedName>
    <definedName name="SG_15_19">#REF!</definedName>
    <definedName name="SG_15_20" localSheetId="1">#REF!</definedName>
    <definedName name="SG_15_20">#REF!</definedName>
    <definedName name="SG_15_21" localSheetId="1">#REF!</definedName>
    <definedName name="SG_15_21">#REF!</definedName>
    <definedName name="SG_15_22" localSheetId="1">#REF!</definedName>
    <definedName name="SG_15_22">#REF!</definedName>
    <definedName name="SG_15_23" localSheetId="1">#REF!</definedName>
    <definedName name="SG_15_23">#REF!</definedName>
    <definedName name="SG_15_24" localSheetId="1">#REF!</definedName>
    <definedName name="SG_15_24">#REF!</definedName>
    <definedName name="SG_15_25" localSheetId="1">#REF!</definedName>
    <definedName name="SG_15_25">#REF!</definedName>
    <definedName name="SG_16_01" localSheetId="1">#REF!</definedName>
    <definedName name="SG_16_01">#REF!</definedName>
    <definedName name="SG_16_02" localSheetId="1">#REF!</definedName>
    <definedName name="SG_16_02">#REF!</definedName>
    <definedName name="SG_16_03" localSheetId="1">#REF!</definedName>
    <definedName name="SG_16_03">#REF!</definedName>
    <definedName name="SG_16_04" localSheetId="1">#REF!</definedName>
    <definedName name="SG_16_04">#REF!</definedName>
    <definedName name="SG_16_05" localSheetId="1">#REF!</definedName>
    <definedName name="SG_16_05">#REF!</definedName>
    <definedName name="SG_16_06" localSheetId="1">#REF!</definedName>
    <definedName name="SG_16_06">#REF!</definedName>
    <definedName name="SG_16_07" localSheetId="1">#REF!</definedName>
    <definedName name="SG_16_07">#REF!</definedName>
    <definedName name="SG_16_08" localSheetId="1">#REF!</definedName>
    <definedName name="SG_16_08">#REF!</definedName>
    <definedName name="SG_16_09" localSheetId="1">#REF!</definedName>
    <definedName name="SG_16_09">#REF!</definedName>
    <definedName name="SG_16_10" localSheetId="1">#REF!</definedName>
    <definedName name="SG_16_10">#REF!</definedName>
    <definedName name="SG_16_11" localSheetId="1">#REF!</definedName>
    <definedName name="SG_16_11">#REF!</definedName>
    <definedName name="SG_16_12" localSheetId="1">#REF!</definedName>
    <definedName name="SG_16_12">#REF!</definedName>
    <definedName name="SG_16_13" localSheetId="1">#REF!</definedName>
    <definedName name="SG_16_13">#REF!</definedName>
    <definedName name="SG_16_14" localSheetId="1">#REF!</definedName>
    <definedName name="SG_16_14">#REF!</definedName>
    <definedName name="SG_16_15" localSheetId="1">#REF!</definedName>
    <definedName name="SG_16_15">#REF!</definedName>
    <definedName name="SG_16_16" localSheetId="1">#REF!</definedName>
    <definedName name="SG_16_16">#REF!</definedName>
    <definedName name="SG_16_17" localSheetId="1">#REF!</definedName>
    <definedName name="SG_16_17">#REF!</definedName>
    <definedName name="SG_16_18" localSheetId="1">#REF!</definedName>
    <definedName name="SG_16_18">#REF!</definedName>
    <definedName name="SG_16_19" localSheetId="1">#REF!</definedName>
    <definedName name="SG_16_19">#REF!</definedName>
    <definedName name="SG_16_20" localSheetId="1">#REF!</definedName>
    <definedName name="SG_16_20">#REF!</definedName>
    <definedName name="SG_16_21" localSheetId="1">#REF!</definedName>
    <definedName name="SG_16_21">#REF!</definedName>
    <definedName name="SG_16_22" localSheetId="1">#REF!</definedName>
    <definedName name="SG_16_22">#REF!</definedName>
    <definedName name="SG_16_23" localSheetId="1">#REF!</definedName>
    <definedName name="SG_16_23">#REF!</definedName>
    <definedName name="SG_16_24" localSheetId="1">#REF!</definedName>
    <definedName name="SG_16_24">#REF!</definedName>
    <definedName name="SG_16_25" localSheetId="1">#REF!</definedName>
    <definedName name="SG_16_25">#REF!</definedName>
    <definedName name="SG_17_01" localSheetId="1">#REF!</definedName>
    <definedName name="SG_17_01">#REF!</definedName>
    <definedName name="SG_17_02" localSheetId="1">#REF!</definedName>
    <definedName name="SG_17_02">#REF!</definedName>
    <definedName name="SG_17_03" localSheetId="1">#REF!</definedName>
    <definedName name="SG_17_03">#REF!</definedName>
    <definedName name="SG_17_04" localSheetId="1">#REF!</definedName>
    <definedName name="SG_17_04">#REF!</definedName>
    <definedName name="SG_17_05" localSheetId="1">#REF!</definedName>
    <definedName name="SG_17_05">#REF!</definedName>
    <definedName name="SG_17_06" localSheetId="1">#REF!</definedName>
    <definedName name="SG_17_06">#REF!</definedName>
    <definedName name="SG_17_07" localSheetId="1">#REF!</definedName>
    <definedName name="SG_17_07">#REF!</definedName>
    <definedName name="SG_17_08" localSheetId="1">#REF!</definedName>
    <definedName name="SG_17_08">#REF!</definedName>
    <definedName name="SG_17_09" localSheetId="1">#REF!</definedName>
    <definedName name="SG_17_09">#REF!</definedName>
    <definedName name="SG_17_10" localSheetId="1">#REF!</definedName>
    <definedName name="SG_17_10">#REF!</definedName>
    <definedName name="SG_17_11" localSheetId="1">#REF!</definedName>
    <definedName name="SG_17_11">#REF!</definedName>
    <definedName name="SG_17_12" localSheetId="1">#REF!</definedName>
    <definedName name="SG_17_12">#REF!</definedName>
    <definedName name="SG_17_13" localSheetId="1">#REF!</definedName>
    <definedName name="SG_17_13">#REF!</definedName>
    <definedName name="SG_17_14" localSheetId="1">#REF!</definedName>
    <definedName name="SG_17_14">#REF!</definedName>
    <definedName name="SG_17_15" localSheetId="1">#REF!</definedName>
    <definedName name="SG_17_15">#REF!</definedName>
    <definedName name="SG_17_16" localSheetId="1">#REF!</definedName>
    <definedName name="SG_17_16">#REF!</definedName>
    <definedName name="SG_17_17" localSheetId="1">#REF!</definedName>
    <definedName name="SG_17_17">#REF!</definedName>
    <definedName name="SG_17_18" localSheetId="1">#REF!</definedName>
    <definedName name="SG_17_18">#REF!</definedName>
    <definedName name="SG_17_19" localSheetId="1">#REF!</definedName>
    <definedName name="SG_17_19">#REF!</definedName>
    <definedName name="SG_17_20" localSheetId="1">#REF!</definedName>
    <definedName name="SG_17_20">#REF!</definedName>
    <definedName name="SG_17_21" localSheetId="1">#REF!</definedName>
    <definedName name="SG_17_21">#REF!</definedName>
    <definedName name="SG_17_22" localSheetId="1">#REF!</definedName>
    <definedName name="SG_17_22">#REF!</definedName>
    <definedName name="SG_17_23" localSheetId="1">#REF!</definedName>
    <definedName name="SG_17_23">#REF!</definedName>
    <definedName name="SG_17_24" localSheetId="1">#REF!</definedName>
    <definedName name="SG_17_24">#REF!</definedName>
    <definedName name="SG_17_25" localSheetId="1">#REF!</definedName>
    <definedName name="SG_17_25">#REF!</definedName>
    <definedName name="SG_18_01" localSheetId="1">#REF!</definedName>
    <definedName name="SG_18_01">#REF!</definedName>
    <definedName name="SG_18_02" localSheetId="1">#REF!</definedName>
    <definedName name="SG_18_02">#REF!</definedName>
    <definedName name="SG_18_03" localSheetId="1">#REF!</definedName>
    <definedName name="SG_18_03">#REF!</definedName>
    <definedName name="SG_18_04" localSheetId="1">#REF!</definedName>
    <definedName name="SG_18_04">#REF!</definedName>
    <definedName name="SG_18_05" localSheetId="1">#REF!</definedName>
    <definedName name="SG_18_05">#REF!</definedName>
    <definedName name="SG_18_06" localSheetId="1">#REF!</definedName>
    <definedName name="SG_18_06">#REF!</definedName>
    <definedName name="SG_18_07" localSheetId="1">#REF!</definedName>
    <definedName name="SG_18_07">#REF!</definedName>
    <definedName name="SG_18_08" localSheetId="1">#REF!</definedName>
    <definedName name="SG_18_08">#REF!</definedName>
    <definedName name="SG_18_09" localSheetId="1">#REF!</definedName>
    <definedName name="SG_18_09">#REF!</definedName>
    <definedName name="SG_18_10" localSheetId="1">#REF!</definedName>
    <definedName name="SG_18_10">#REF!</definedName>
    <definedName name="SG_18_11" localSheetId="1">#REF!</definedName>
    <definedName name="SG_18_11">#REF!</definedName>
    <definedName name="SG_18_12" localSheetId="1">#REF!</definedName>
    <definedName name="SG_18_12">#REF!</definedName>
    <definedName name="SG_18_13" localSheetId="1">#REF!</definedName>
    <definedName name="SG_18_13">#REF!</definedName>
    <definedName name="SG_18_14" localSheetId="1">#REF!</definedName>
    <definedName name="SG_18_14">#REF!</definedName>
    <definedName name="SG_18_15" localSheetId="1">#REF!</definedName>
    <definedName name="SG_18_15">#REF!</definedName>
    <definedName name="SG_18_16" localSheetId="1">#REF!</definedName>
    <definedName name="SG_18_16">#REF!</definedName>
    <definedName name="SG_18_17" localSheetId="1">#REF!</definedName>
    <definedName name="SG_18_17">#REF!</definedName>
    <definedName name="SG_18_18" localSheetId="1">#REF!</definedName>
    <definedName name="SG_18_18">#REF!</definedName>
    <definedName name="SG_18_19" localSheetId="1">#REF!</definedName>
    <definedName name="SG_18_19">#REF!</definedName>
    <definedName name="SG_18_20" localSheetId="1">#REF!</definedName>
    <definedName name="SG_18_20">#REF!</definedName>
    <definedName name="SG_18_21" localSheetId="1">#REF!</definedName>
    <definedName name="SG_18_21">#REF!</definedName>
    <definedName name="SG_18_22" localSheetId="1">#REF!</definedName>
    <definedName name="SG_18_22">#REF!</definedName>
    <definedName name="SG_18_23" localSheetId="1">#REF!</definedName>
    <definedName name="SG_18_23">#REF!</definedName>
    <definedName name="SG_18_24" localSheetId="1">#REF!</definedName>
    <definedName name="SG_18_24">#REF!</definedName>
    <definedName name="SG_18_25" localSheetId="1">#REF!</definedName>
    <definedName name="SG_18_25">#REF!</definedName>
    <definedName name="SG_19_01" localSheetId="1">#REF!</definedName>
    <definedName name="SG_19_01">#REF!</definedName>
    <definedName name="SG_19_02" localSheetId="1">#REF!</definedName>
    <definedName name="SG_19_02">#REF!</definedName>
    <definedName name="SG_19_03" localSheetId="1">#REF!</definedName>
    <definedName name="SG_19_03">#REF!</definedName>
    <definedName name="SG_19_04" localSheetId="1">#REF!</definedName>
    <definedName name="SG_19_04">#REF!</definedName>
    <definedName name="SG_19_05" localSheetId="1">#REF!</definedName>
    <definedName name="SG_19_05">#REF!</definedName>
    <definedName name="SG_19_06" localSheetId="1">#REF!</definedName>
    <definedName name="SG_19_06">#REF!</definedName>
    <definedName name="SG_19_07" localSheetId="1">#REF!</definedName>
    <definedName name="SG_19_07">#REF!</definedName>
    <definedName name="SG_19_08" localSheetId="1">#REF!</definedName>
    <definedName name="SG_19_08">#REF!</definedName>
    <definedName name="SG_19_09" localSheetId="1">#REF!</definedName>
    <definedName name="SG_19_09">#REF!</definedName>
    <definedName name="SG_19_10" localSheetId="1">#REF!</definedName>
    <definedName name="SG_19_10">#REF!</definedName>
    <definedName name="SG_19_11" localSheetId="1">#REF!</definedName>
    <definedName name="SG_19_11">#REF!</definedName>
    <definedName name="SG_19_12" localSheetId="1">#REF!</definedName>
    <definedName name="SG_19_12">#REF!</definedName>
    <definedName name="SG_19_13" localSheetId="1">#REF!</definedName>
    <definedName name="SG_19_13">#REF!</definedName>
    <definedName name="SG_19_14" localSheetId="1">#REF!</definedName>
    <definedName name="SG_19_14">#REF!</definedName>
    <definedName name="SG_19_15" localSheetId="1">#REF!</definedName>
    <definedName name="SG_19_15">#REF!</definedName>
    <definedName name="SG_19_16" localSheetId="1">#REF!</definedName>
    <definedName name="SG_19_16">#REF!</definedName>
    <definedName name="SG_19_17" localSheetId="1">#REF!</definedName>
    <definedName name="SG_19_17">#REF!</definedName>
    <definedName name="SG_19_18" localSheetId="1">#REF!</definedName>
    <definedName name="SG_19_18">#REF!</definedName>
    <definedName name="SG_19_19" localSheetId="1">#REF!</definedName>
    <definedName name="SG_19_19">#REF!</definedName>
    <definedName name="SG_19_20" localSheetId="1">#REF!</definedName>
    <definedName name="SG_19_20">#REF!</definedName>
    <definedName name="SG_19_21" localSheetId="1">#REF!</definedName>
    <definedName name="SG_19_21">#REF!</definedName>
    <definedName name="SG_19_22" localSheetId="1">#REF!</definedName>
    <definedName name="SG_19_22">#REF!</definedName>
    <definedName name="SG_19_23" localSheetId="1">#REF!</definedName>
    <definedName name="SG_19_23">#REF!</definedName>
    <definedName name="SG_19_24" localSheetId="1">#REF!</definedName>
    <definedName name="SG_19_24">#REF!</definedName>
    <definedName name="SG_19_25" localSheetId="1">#REF!</definedName>
    <definedName name="SG_19_25">#REF!</definedName>
    <definedName name="SG_20_01" localSheetId="1">#REF!</definedName>
    <definedName name="SG_20_01">#REF!</definedName>
    <definedName name="SG_20_02" localSheetId="1">#REF!</definedName>
    <definedName name="SG_20_02">#REF!</definedName>
    <definedName name="SG_20_03" localSheetId="1">#REF!</definedName>
    <definedName name="SG_20_03">#REF!</definedName>
    <definedName name="SG_20_04" localSheetId="1">#REF!</definedName>
    <definedName name="SG_20_04">#REF!</definedName>
    <definedName name="SG_20_05" localSheetId="1">#REF!</definedName>
    <definedName name="SG_20_05">#REF!</definedName>
    <definedName name="SG_20_06" localSheetId="1">#REF!</definedName>
    <definedName name="SG_20_06">#REF!</definedName>
    <definedName name="SG_20_07" localSheetId="1">#REF!</definedName>
    <definedName name="SG_20_07">#REF!</definedName>
    <definedName name="SG_20_08" localSheetId="1">#REF!</definedName>
    <definedName name="SG_20_08">#REF!</definedName>
    <definedName name="SG_20_09" localSheetId="1">#REF!</definedName>
    <definedName name="SG_20_09">#REF!</definedName>
    <definedName name="SG_20_10" localSheetId="1">#REF!</definedName>
    <definedName name="SG_20_10">#REF!</definedName>
    <definedName name="SG_20_11" localSheetId="1">#REF!</definedName>
    <definedName name="SG_20_11">#REF!</definedName>
    <definedName name="SG_20_12" localSheetId="1">#REF!</definedName>
    <definedName name="SG_20_12">#REF!</definedName>
    <definedName name="SG_20_13" localSheetId="1">#REF!</definedName>
    <definedName name="SG_20_13">#REF!</definedName>
    <definedName name="SG_20_14" localSheetId="1">#REF!</definedName>
    <definedName name="SG_20_14">#REF!</definedName>
    <definedName name="SG_20_15" localSheetId="1">#REF!</definedName>
    <definedName name="SG_20_15">#REF!</definedName>
    <definedName name="SG_20_16" localSheetId="1">#REF!</definedName>
    <definedName name="SG_20_16">#REF!</definedName>
    <definedName name="SG_20_17" localSheetId="1">#REF!</definedName>
    <definedName name="SG_20_17">#REF!</definedName>
    <definedName name="SG_20_18" localSheetId="1">#REF!</definedName>
    <definedName name="SG_20_18">#REF!</definedName>
    <definedName name="SG_20_19" localSheetId="1">#REF!</definedName>
    <definedName name="SG_20_19">#REF!</definedName>
    <definedName name="SG_20_20" localSheetId="1">#REF!</definedName>
    <definedName name="SG_20_20">#REF!</definedName>
    <definedName name="SG_20_21" localSheetId="1">#REF!</definedName>
    <definedName name="SG_20_21">#REF!</definedName>
    <definedName name="SG_20_22" localSheetId="1">#REF!</definedName>
    <definedName name="SG_20_22">#REF!</definedName>
    <definedName name="SG_20_23" localSheetId="1">#REF!</definedName>
    <definedName name="SG_20_23">#REF!</definedName>
    <definedName name="SG_20_24" localSheetId="1">#REF!</definedName>
    <definedName name="SG_20_24">#REF!</definedName>
    <definedName name="SG_20_25" localSheetId="1">#REF!</definedName>
    <definedName name="SG_20_25">#REF!</definedName>
    <definedName name="SG_21_01" localSheetId="1">#REF!</definedName>
    <definedName name="SG_21_01">#REF!</definedName>
    <definedName name="SG_21_02" localSheetId="1">#REF!</definedName>
    <definedName name="SG_21_02">#REF!</definedName>
    <definedName name="SG_21_03" localSheetId="1">#REF!</definedName>
    <definedName name="SG_21_03">#REF!</definedName>
    <definedName name="SG_21_04" localSheetId="1">#REF!</definedName>
    <definedName name="SG_21_04">#REF!</definedName>
    <definedName name="SG_21_05" localSheetId="1">#REF!</definedName>
    <definedName name="SG_21_05">#REF!</definedName>
    <definedName name="SG_21_06" localSheetId="1">#REF!</definedName>
    <definedName name="SG_21_06">#REF!</definedName>
    <definedName name="SG_21_07" localSheetId="1">#REF!</definedName>
    <definedName name="SG_21_07">#REF!</definedName>
    <definedName name="SG_21_08" localSheetId="1">#REF!</definedName>
    <definedName name="SG_21_08">#REF!</definedName>
    <definedName name="SG_21_09" localSheetId="1">#REF!</definedName>
    <definedName name="SG_21_09">#REF!</definedName>
    <definedName name="SG_21_10" localSheetId="1">#REF!</definedName>
    <definedName name="SG_21_10">#REF!</definedName>
    <definedName name="SG_21_11" localSheetId="1">#REF!</definedName>
    <definedName name="SG_21_11">#REF!</definedName>
    <definedName name="SG_21_12" localSheetId="1">#REF!</definedName>
    <definedName name="SG_21_12">#REF!</definedName>
    <definedName name="SG_21_13" localSheetId="1">#REF!</definedName>
    <definedName name="SG_21_13">#REF!</definedName>
    <definedName name="SG_21_14" localSheetId="1">#REF!</definedName>
    <definedName name="SG_21_14">#REF!</definedName>
    <definedName name="SG_21_15" localSheetId="1">#REF!</definedName>
    <definedName name="SG_21_15">#REF!</definedName>
    <definedName name="SG_21_16" localSheetId="1">#REF!</definedName>
    <definedName name="SG_21_16">#REF!</definedName>
    <definedName name="SG_21_17" localSheetId="1">#REF!</definedName>
    <definedName name="SG_21_17">#REF!</definedName>
    <definedName name="SG_21_18" localSheetId="1">#REF!</definedName>
    <definedName name="SG_21_18">#REF!</definedName>
    <definedName name="SG_21_19" localSheetId="1">#REF!</definedName>
    <definedName name="SG_21_19">#REF!</definedName>
    <definedName name="SG_21_20" localSheetId="1">#REF!</definedName>
    <definedName name="SG_21_20">#REF!</definedName>
    <definedName name="SG_21_21" localSheetId="1">#REF!</definedName>
    <definedName name="SG_21_21">#REF!</definedName>
    <definedName name="SG_21_22" localSheetId="1">#REF!</definedName>
    <definedName name="SG_21_22">#REF!</definedName>
    <definedName name="SG_21_23" localSheetId="1">#REF!</definedName>
    <definedName name="SG_21_23">#REF!</definedName>
    <definedName name="SG_21_24" localSheetId="1">#REF!</definedName>
    <definedName name="SG_21_24">#REF!</definedName>
    <definedName name="SG_21_25" localSheetId="1">#REF!</definedName>
    <definedName name="SG_21_25">#REF!</definedName>
    <definedName name="SG_22_01" localSheetId="1">#REF!</definedName>
    <definedName name="SG_22_01">#REF!</definedName>
    <definedName name="SG_22_02" localSheetId="1">#REF!</definedName>
    <definedName name="SG_22_02">#REF!</definedName>
    <definedName name="SG_22_03" localSheetId="1">#REF!</definedName>
    <definedName name="SG_22_03">#REF!</definedName>
    <definedName name="SG_22_04" localSheetId="1">#REF!</definedName>
    <definedName name="SG_22_04">#REF!</definedName>
    <definedName name="SG_22_05" localSheetId="1">#REF!</definedName>
    <definedName name="SG_22_05">#REF!</definedName>
    <definedName name="SG_22_06" localSheetId="1">#REF!</definedName>
    <definedName name="SG_22_06">#REF!</definedName>
    <definedName name="SG_22_07" localSheetId="1">#REF!</definedName>
    <definedName name="SG_22_07">#REF!</definedName>
    <definedName name="SG_22_08" localSheetId="1">#REF!</definedName>
    <definedName name="SG_22_08">#REF!</definedName>
    <definedName name="SG_22_09" localSheetId="1">#REF!</definedName>
    <definedName name="SG_22_09">#REF!</definedName>
    <definedName name="SG_22_10" localSheetId="1">#REF!</definedName>
    <definedName name="SG_22_10">#REF!</definedName>
    <definedName name="SG_22_11" localSheetId="1">#REF!</definedName>
    <definedName name="SG_22_11">#REF!</definedName>
    <definedName name="SG_22_12" localSheetId="1">#REF!</definedName>
    <definedName name="SG_22_12">#REF!</definedName>
    <definedName name="SG_22_13" localSheetId="1">#REF!</definedName>
    <definedName name="SG_22_13">#REF!</definedName>
    <definedName name="SG_22_14" localSheetId="1">#REF!</definedName>
    <definedName name="SG_22_14">#REF!</definedName>
    <definedName name="SG_22_15" localSheetId="1">#REF!</definedName>
    <definedName name="SG_22_15">#REF!</definedName>
    <definedName name="SG_22_16" localSheetId="1">#REF!</definedName>
    <definedName name="SG_22_16">#REF!</definedName>
    <definedName name="SG_22_17" localSheetId="1">#REF!</definedName>
    <definedName name="SG_22_17">#REF!</definedName>
    <definedName name="SG_22_18" localSheetId="1">#REF!</definedName>
    <definedName name="SG_22_18">#REF!</definedName>
    <definedName name="SG_22_19" localSheetId="1">#REF!</definedName>
    <definedName name="SG_22_19">#REF!</definedName>
    <definedName name="SG_22_20" localSheetId="1">#REF!</definedName>
    <definedName name="SG_22_20">#REF!</definedName>
    <definedName name="SG_22_21" localSheetId="1">#REF!</definedName>
    <definedName name="SG_22_21">#REF!</definedName>
    <definedName name="SG_22_22" localSheetId="1">#REF!</definedName>
    <definedName name="SG_22_22">#REF!</definedName>
    <definedName name="SG_22_23" localSheetId="1">#REF!</definedName>
    <definedName name="SG_22_23">#REF!</definedName>
    <definedName name="SG_22_24" localSheetId="1">#REF!</definedName>
    <definedName name="SG_22_24">#REF!</definedName>
    <definedName name="SG_22_25" localSheetId="1">#REF!</definedName>
    <definedName name="SG_22_25">#REF!</definedName>
    <definedName name="SG_23_01" localSheetId="1">#REF!</definedName>
    <definedName name="SG_23_01">#REF!</definedName>
    <definedName name="SG_23_02" localSheetId="1">#REF!</definedName>
    <definedName name="SG_23_02">#REF!</definedName>
    <definedName name="SG_23_03" localSheetId="1">#REF!</definedName>
    <definedName name="SG_23_03">#REF!</definedName>
    <definedName name="SG_23_04" localSheetId="1">#REF!</definedName>
    <definedName name="SG_23_04">#REF!</definedName>
    <definedName name="SG_23_05" localSheetId="1">#REF!</definedName>
    <definedName name="SG_23_05">#REF!</definedName>
    <definedName name="SG_23_06" localSheetId="1">#REF!</definedName>
    <definedName name="SG_23_06">#REF!</definedName>
    <definedName name="SG_23_07" localSheetId="1">#REF!</definedName>
    <definedName name="SG_23_07">#REF!</definedName>
    <definedName name="SG_23_08" localSheetId="1">#REF!</definedName>
    <definedName name="SG_23_08">#REF!</definedName>
    <definedName name="SG_23_09" localSheetId="1">#REF!</definedName>
    <definedName name="SG_23_09">#REF!</definedName>
    <definedName name="SG_23_10" localSheetId="1">#REF!</definedName>
    <definedName name="SG_23_10">#REF!</definedName>
    <definedName name="SG_23_11" localSheetId="1">#REF!</definedName>
    <definedName name="SG_23_11">#REF!</definedName>
    <definedName name="SG_23_12" localSheetId="1">#REF!</definedName>
    <definedName name="SG_23_12">#REF!</definedName>
    <definedName name="SG_23_13" localSheetId="1">#REF!</definedName>
    <definedName name="SG_23_13">#REF!</definedName>
    <definedName name="SG_23_14" localSheetId="1">#REF!</definedName>
    <definedName name="SG_23_14">#REF!</definedName>
    <definedName name="SG_23_15" localSheetId="1">#REF!</definedName>
    <definedName name="SG_23_15">#REF!</definedName>
    <definedName name="SG_23_16" localSheetId="1">#REF!</definedName>
    <definedName name="SG_23_16">#REF!</definedName>
    <definedName name="SG_23_17" localSheetId="1">#REF!</definedName>
    <definedName name="SG_23_17">#REF!</definedName>
    <definedName name="SG_23_18" localSheetId="1">#REF!</definedName>
    <definedName name="SG_23_18">#REF!</definedName>
    <definedName name="SG_23_19" localSheetId="1">#REF!</definedName>
    <definedName name="SG_23_19">#REF!</definedName>
    <definedName name="SG_23_20" localSheetId="1">#REF!</definedName>
    <definedName name="SG_23_20">#REF!</definedName>
    <definedName name="SG_23_21" localSheetId="1">#REF!</definedName>
    <definedName name="SG_23_21">#REF!</definedName>
    <definedName name="SG_23_22" localSheetId="1">#REF!</definedName>
    <definedName name="SG_23_22">#REF!</definedName>
    <definedName name="SG_23_23" localSheetId="1">#REF!</definedName>
    <definedName name="SG_23_23">#REF!</definedName>
    <definedName name="SG_23_24" localSheetId="1">#REF!</definedName>
    <definedName name="SG_23_24">#REF!</definedName>
    <definedName name="SG_23_25" localSheetId="1">#REF!</definedName>
    <definedName name="SG_23_25">#REF!</definedName>
    <definedName name="SG_24_01" localSheetId="1">#REF!</definedName>
    <definedName name="SG_24_01">#REF!</definedName>
    <definedName name="SG_24_02" localSheetId="1">#REF!</definedName>
    <definedName name="SG_24_02">#REF!</definedName>
    <definedName name="SG_24_03" localSheetId="1">#REF!</definedName>
    <definedName name="SG_24_03">#REF!</definedName>
    <definedName name="SG_24_04" localSheetId="1">#REF!</definedName>
    <definedName name="SG_24_04">#REF!</definedName>
    <definedName name="SG_24_05" localSheetId="1">#REF!</definedName>
    <definedName name="SG_24_05">#REF!</definedName>
    <definedName name="SG_24_06" localSheetId="1">#REF!</definedName>
    <definedName name="SG_24_06">#REF!</definedName>
    <definedName name="SG_24_07" localSheetId="1">#REF!</definedName>
    <definedName name="SG_24_07">#REF!</definedName>
    <definedName name="SG_24_08" localSheetId="1">#REF!</definedName>
    <definedName name="SG_24_08">#REF!</definedName>
    <definedName name="SG_24_09" localSheetId="1">#REF!</definedName>
    <definedName name="SG_24_09">#REF!</definedName>
    <definedName name="SG_24_10" localSheetId="1">#REF!</definedName>
    <definedName name="SG_24_10">#REF!</definedName>
    <definedName name="SG_24_11" localSheetId="1">#REF!</definedName>
    <definedName name="SG_24_11">#REF!</definedName>
    <definedName name="SG_24_12" localSheetId="1">#REF!</definedName>
    <definedName name="SG_24_12">#REF!</definedName>
    <definedName name="SG_24_13" localSheetId="1">#REF!</definedName>
    <definedName name="SG_24_13">#REF!</definedName>
    <definedName name="SG_24_14" localSheetId="1">#REF!</definedName>
    <definedName name="SG_24_14">#REF!</definedName>
    <definedName name="SG_24_15" localSheetId="1">#REF!</definedName>
    <definedName name="SG_24_15">#REF!</definedName>
    <definedName name="SG_24_16" localSheetId="1">#REF!</definedName>
    <definedName name="SG_24_16">#REF!</definedName>
    <definedName name="SG_24_17" localSheetId="1">#REF!</definedName>
    <definedName name="SG_24_17">#REF!</definedName>
    <definedName name="SG_24_18" localSheetId="1">#REF!</definedName>
    <definedName name="SG_24_18">#REF!</definedName>
    <definedName name="SG_24_19" localSheetId="1">#REF!</definedName>
    <definedName name="SG_24_19">#REF!</definedName>
    <definedName name="SG_24_20" localSheetId="1">#REF!</definedName>
    <definedName name="SG_24_20">#REF!</definedName>
    <definedName name="SG_24_21" localSheetId="1">#REF!</definedName>
    <definedName name="SG_24_21">#REF!</definedName>
    <definedName name="SG_24_22" localSheetId="1">#REF!</definedName>
    <definedName name="SG_24_22">#REF!</definedName>
    <definedName name="SG_24_23" localSheetId="1">#REF!</definedName>
    <definedName name="SG_24_23">#REF!</definedName>
    <definedName name="SG_24_24" localSheetId="1">#REF!</definedName>
    <definedName name="SG_24_24">#REF!</definedName>
    <definedName name="SG_24_25" localSheetId="1">#REF!</definedName>
    <definedName name="SG_24_25">#REF!</definedName>
    <definedName name="SG_25_01" localSheetId="1">#REF!</definedName>
    <definedName name="SG_25_01">#REF!</definedName>
    <definedName name="SG_25_02" localSheetId="1">#REF!</definedName>
    <definedName name="SG_25_02">#REF!</definedName>
    <definedName name="SG_25_03" localSheetId="1">#REF!</definedName>
    <definedName name="SG_25_03">#REF!</definedName>
    <definedName name="SG_25_04" localSheetId="1">#REF!</definedName>
    <definedName name="SG_25_04">#REF!</definedName>
    <definedName name="SG_25_05" localSheetId="1">#REF!</definedName>
    <definedName name="SG_25_05">#REF!</definedName>
    <definedName name="SG_25_06" localSheetId="1">#REF!</definedName>
    <definedName name="SG_25_06">#REF!</definedName>
    <definedName name="SG_25_07" localSheetId="1">#REF!</definedName>
    <definedName name="SG_25_07">#REF!</definedName>
    <definedName name="SG_25_08" localSheetId="1">#REF!</definedName>
    <definedName name="SG_25_08">#REF!</definedName>
    <definedName name="SG_25_09" localSheetId="1">#REF!</definedName>
    <definedName name="SG_25_09">#REF!</definedName>
    <definedName name="SG_25_10" localSheetId="1">#REF!</definedName>
    <definedName name="SG_25_10">#REF!</definedName>
    <definedName name="SG_25_11" localSheetId="1">#REF!</definedName>
    <definedName name="SG_25_11">#REF!</definedName>
    <definedName name="SG_25_12" localSheetId="1">#REF!</definedName>
    <definedName name="SG_25_12">#REF!</definedName>
    <definedName name="SG_25_13" localSheetId="1">#REF!</definedName>
    <definedName name="SG_25_13">#REF!</definedName>
    <definedName name="SG_25_14" localSheetId="1">#REF!</definedName>
    <definedName name="SG_25_14">#REF!</definedName>
    <definedName name="SG_25_15" localSheetId="1">#REF!</definedName>
    <definedName name="SG_25_15">#REF!</definedName>
    <definedName name="SG_25_16" localSheetId="1">#REF!</definedName>
    <definedName name="SG_25_16">#REF!</definedName>
    <definedName name="SG_25_17" localSheetId="1">#REF!</definedName>
    <definedName name="SG_25_17">#REF!</definedName>
    <definedName name="SG_25_18" localSheetId="1">#REF!</definedName>
    <definedName name="SG_25_18">#REF!</definedName>
    <definedName name="SG_25_19" localSheetId="1">#REF!</definedName>
    <definedName name="SG_25_19">#REF!</definedName>
    <definedName name="SG_25_20" localSheetId="1">#REF!</definedName>
    <definedName name="SG_25_20">#REF!</definedName>
    <definedName name="SG_25_21" localSheetId="1">#REF!</definedName>
    <definedName name="SG_25_21">#REF!</definedName>
    <definedName name="SG_25_22" localSheetId="1">#REF!</definedName>
    <definedName name="SG_25_22">#REF!</definedName>
    <definedName name="SG_25_23" localSheetId="1">#REF!</definedName>
    <definedName name="SG_25_23">#REF!</definedName>
    <definedName name="SG_25_24" localSheetId="1">#REF!</definedName>
    <definedName name="SG_25_24">#REF!</definedName>
    <definedName name="SG_25_25" localSheetId="1">#REF!</definedName>
    <definedName name="SG_25_25">#REF!</definedName>
    <definedName name="SIN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UB">#REF!</definedName>
    <definedName name="sub1" localSheetId="1">#REF!</definedName>
    <definedName name="sub1">#REF!</definedName>
    <definedName name="sub2">#REF!</definedName>
    <definedName name="sub3" localSheetId="1">#REF!</definedName>
    <definedName name="sub3">#REF!</definedName>
    <definedName name="sub4">#REF!</definedName>
    <definedName name="SUBT" localSheetId="1">#REF!</definedName>
    <definedName name="SUBT">#REF!</definedName>
    <definedName name="SUBTO">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  <definedName name="Tanque_lavar_roupa">"$#REF!.$#REF!$#REF!"</definedName>
    <definedName name="Tanque_premoldado">"$#REF!.$#REF!$#REF!"</definedName>
    <definedName name="teste" localSheetId="1">#REF!</definedName>
    <definedName name="teste">#REF!</definedName>
    <definedName name="teste1" localSheetId="1">#REF!</definedName>
    <definedName name="teste1">#REF!</definedName>
    <definedName name="teste2" localSheetId="1">#REF!</definedName>
    <definedName name="teste2">#REF!</definedName>
    <definedName name="teste3" localSheetId="1">#REF!</definedName>
    <definedName name="teste3">#REF!</definedName>
    <definedName name="tot1">#REF!</definedName>
    <definedName name="tot2">#REF!</definedName>
    <definedName name="tot3">#REF!</definedName>
    <definedName name="tot4">#REF!</definedName>
    <definedName name="tot5">#REF!</definedName>
    <definedName name="tot6">#REF!</definedName>
    <definedName name="tot7">#REF!</definedName>
    <definedName name="tot8">#REF!</definedName>
    <definedName name="TOTAL_GERAL" localSheetId="1">#REF!</definedName>
    <definedName name="TOTAL_GERAL">#REF!</definedName>
    <definedName name="TOTAL_RESUMO">#REF!</definedName>
    <definedName name="totee_3" localSheetId="1">#REF!</definedName>
    <definedName name="totee_3">#REF!</definedName>
    <definedName name="totee1" localSheetId="1">#REF!</definedName>
    <definedName name="totee1">#REF!</definedName>
    <definedName name="totee2" localSheetId="1">#REF!</definedName>
    <definedName name="totee2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RÂNS_SEG_EMISS2" localSheetId="1">#REF!</definedName>
    <definedName name="TRÂNS_SEG_EMISS2">#REF!</definedName>
    <definedName name="TRÂNS_SEG_EMISS3" localSheetId="1">#REF!</definedName>
    <definedName name="TRÂNS_SEG_EMISS3">#REF!</definedName>
    <definedName name="TRÂNS_SEGU" localSheetId="1">#REF!</definedName>
    <definedName name="TRÂNS_SEGU">#REF!</definedName>
    <definedName name="TRÂNS_SEGURANÇA" localSheetId="1">#REF!</definedName>
    <definedName name="TRÂNS_SEGURANÇA">#REF!</definedName>
    <definedName name="TRAV_EMISS3_S" localSheetId="1">#REF!</definedName>
    <definedName name="TRAV_EMISS3_S">#REF!</definedName>
    <definedName name="val">#REF!</definedName>
    <definedName name="Verga">"$#REF!.$#REF!$#REF!"</definedName>
    <definedName name="wrn.Orçamento." hidden="1">{#N/A,#N/A,FALSE,"Planilha";#N/A,#N/A,FALSE,"Resumo";#N/A,#N/A,FALSE,"Fisico";#N/A,#N/A,FALSE,"Financeiro";#N/A,#N/A,FALSE,"Financeiro"}</definedName>
    <definedName name="_xlnm.Print_Area" localSheetId="4">'ANEXO PB II Bonfim'!$A$1:$G$54</definedName>
    <definedName name="_xlnm.Print_Area" localSheetId="5">'ANEXO PB II São Luiz'!$A$1:$G$37</definedName>
    <definedName name="_xlnm.Print_Area" localSheetId="6">'ANEXO PB II Pacaraima'!$A$1:$G$26</definedName>
    <definedName name="_xlnm.Print_Area" localSheetId="7">'ANEXO PB II RORAINÓPILS'!$A$1:$G$41</definedName>
  </definedNames>
  <calcPr fullCalcOnLoad="1"/>
</workbook>
</file>

<file path=xl/sharedStrings.xml><?xml version="1.0" encoding="utf-8"?>
<sst xmlns="http://schemas.openxmlformats.org/spreadsheetml/2006/main" count="2957" uniqueCount="752">
  <si>
    <t>ANEXO PB I - RESUMO</t>
  </si>
  <si>
    <t>OBRA: CONTRATAÇÃO DE EMPRESA PARA RECUPERAÇÃO DOS PRÉDIOS DA DEFENSORIA PÚBLICA DO ESTADO DE RORAIMA NA CAPITAL E NOS MUNICÍPIO DO INTERIOR</t>
  </si>
  <si>
    <t>LOCAL DA REFORMA</t>
  </si>
  <si>
    <t>VALOR S/ BDI</t>
  </si>
  <si>
    <t>BDI</t>
  </si>
  <si>
    <t>VALOR C/ BDI</t>
  </si>
  <si>
    <t>TOTAL</t>
  </si>
  <si>
    <t>ANEXO PB II - PLANILHA DE ORÇAMENTO - SINTÉTICO</t>
  </si>
  <si>
    <t>BOA VISTA - PENHA BRASIL</t>
  </si>
  <si>
    <t>BASE: SINAPI RR JULHO/2021 DESONERADO</t>
  </si>
  <si>
    <t xml:space="preserve">PRAZO = </t>
  </si>
  <si>
    <t>21 DIAS</t>
  </si>
  <si>
    <t xml:space="preserve">BDI = </t>
  </si>
  <si>
    <t>CÓDIGO</t>
  </si>
  <si>
    <t>ITEM</t>
  </si>
  <si>
    <t>DESCRIMINAÇÃO DOS SERVIÇOS</t>
  </si>
  <si>
    <t>UND</t>
  </si>
  <si>
    <t>ORÇ. CONTRATADO</t>
  </si>
  <si>
    <t>QUANT.</t>
  </si>
  <si>
    <t>P. UNIT.</t>
  </si>
  <si>
    <t>P. TOTAL</t>
  </si>
  <si>
    <t>TROCA DE CERÂMICAS QUEBRADAS</t>
  </si>
  <si>
    <t>1.1</t>
  </si>
  <si>
    <t>Demolição de revestimento cerâmico, de forma manual, sem reaproveitamento.</t>
  </si>
  <si>
    <t>m²</t>
  </si>
  <si>
    <t>1.2</t>
  </si>
  <si>
    <t>Assentamento de piso cerâmico</t>
  </si>
  <si>
    <t>FORRO E SHAFT</t>
  </si>
  <si>
    <t>2.1</t>
  </si>
  <si>
    <t>REPARO NO FORRO</t>
  </si>
  <si>
    <t>2.1.1</t>
  </si>
  <si>
    <t>Remoção de forro de gesso, de forma manual, sem reaproveitamento.</t>
  </si>
  <si>
    <t>2.1.2</t>
  </si>
  <si>
    <t>Forro em placas de gesso, para ambientes comerciais.</t>
  </si>
  <si>
    <t>2.2</t>
  </si>
  <si>
    <t>REPARO NO SHAFT</t>
  </si>
  <si>
    <t>2.2.1</t>
  </si>
  <si>
    <t>2.2.2</t>
  </si>
  <si>
    <t>PINTURA</t>
  </si>
  <si>
    <t>3.1</t>
  </si>
  <si>
    <t>PAREDES EXISTENTES</t>
  </si>
  <si>
    <t>3.1.1</t>
  </si>
  <si>
    <t>Lixamento para retirar tinta existente</t>
  </si>
  <si>
    <t>3.1.2</t>
  </si>
  <si>
    <t>Aplicação manual de pintura com tinta acrílica em paredes, duas demãos (Cor aprovada pela fiscalização)</t>
  </si>
  <si>
    <t>3.2</t>
  </si>
  <si>
    <t>FORRO</t>
  </si>
  <si>
    <t>3.2.1</t>
  </si>
  <si>
    <t>Lixamento de forro de gesso</t>
  </si>
  <si>
    <t>3.2.2</t>
  </si>
  <si>
    <t>Aplicação manual de pintura com tinta látex acrílica em teto, duas demãos (Cor aprovada pela fiscalização)</t>
  </si>
  <si>
    <t>3.3</t>
  </si>
  <si>
    <t>RODATETO</t>
  </si>
  <si>
    <t>3.3.1</t>
  </si>
  <si>
    <t>lixamento de rodateto</t>
  </si>
  <si>
    <t>3.3.2</t>
  </si>
  <si>
    <t>Aplicação Manual de pintura com tinta lãtex em rodateto, duas demão.</t>
  </si>
  <si>
    <t>3.4</t>
  </si>
  <si>
    <t>PORTA INTERNAS DE MADEIRA</t>
  </si>
  <si>
    <t>3.4.1</t>
  </si>
  <si>
    <t>Lixamento de madeira para aplicação de fundo ou pintura.</t>
  </si>
  <si>
    <t>3.4.2</t>
  </si>
  <si>
    <t>Pintura verniz (incolor) alquídico em madeira, uso interno, 2 demãos.</t>
  </si>
  <si>
    <t>3.5</t>
  </si>
  <si>
    <t>CORRIMÃO DA ESCADA</t>
  </si>
  <si>
    <t>3.5.1</t>
  </si>
  <si>
    <t>Lixamento manual em superfícies metálicas em obra</t>
  </si>
  <si>
    <t>3.5.3</t>
  </si>
  <si>
    <t>Pintura com tinta alquídica de acabamento (esmalte sintético brilhante ) aplicada a rolo ou pincel sobre superfícies metálicas (exceto perfil ) executado em obra (02 demãos)</t>
  </si>
  <si>
    <t>3.6</t>
  </si>
  <si>
    <t>GUARDA CORPO</t>
  </si>
  <si>
    <t>3.6.1</t>
  </si>
  <si>
    <t>3.6.2</t>
  </si>
  <si>
    <t>3.7</t>
  </si>
  <si>
    <t>PORTA DE ENROLAR</t>
  </si>
  <si>
    <t>3.7.1</t>
  </si>
  <si>
    <t>3.7.2</t>
  </si>
  <si>
    <t>3.8</t>
  </si>
  <si>
    <t>PORTAS EM AÇO</t>
  </si>
  <si>
    <t>3.8.1</t>
  </si>
  <si>
    <t>3.8.2</t>
  </si>
  <si>
    <t>3.9</t>
  </si>
  <si>
    <t>PINTURA CALÇADA</t>
  </si>
  <si>
    <t>3.9.1</t>
  </si>
  <si>
    <t>Pintura de piso com tinta acrílica, aplicação manual, 2 demãos, incluso fundo preparador</t>
  </si>
  <si>
    <t>3.10</t>
  </si>
  <si>
    <t>PINTURA DAS CAIXAS DE INCÊNCDIO</t>
  </si>
  <si>
    <t>3.10.1</t>
  </si>
  <si>
    <t>3.10.2</t>
  </si>
  <si>
    <t>3.11</t>
  </si>
  <si>
    <t>PINTURA DA SINALIZAÇÃO DE INCÊNDIO</t>
  </si>
  <si>
    <t>3.11.1</t>
  </si>
  <si>
    <t>sInalização no piso dos extintores</t>
  </si>
  <si>
    <t>3.11.2</t>
  </si>
  <si>
    <t>sInalização no piso dos hidrantes</t>
  </si>
  <si>
    <t>3.11.3</t>
  </si>
  <si>
    <t>sInalização na calçada do hidrante</t>
  </si>
  <si>
    <t>LIMPEZA</t>
  </si>
  <si>
    <t>4.1</t>
  </si>
  <si>
    <t>LIMPEZA DAS ESQUADRIAS</t>
  </si>
  <si>
    <t>4.1.1</t>
  </si>
  <si>
    <t>Limpeza de janela de vidro com caixilho em aluminio</t>
  </si>
  <si>
    <t>4.2</t>
  </si>
  <si>
    <t>LIMPEZA DA LAJE DA COBERTURA</t>
  </si>
  <si>
    <t>4.2.1</t>
  </si>
  <si>
    <t>Limpeza de contrapiso com vassoura a seco</t>
  </si>
  <si>
    <t>ACESSÓRIOS PARA BANHEIROS</t>
  </si>
  <si>
    <t>5.1</t>
  </si>
  <si>
    <t>Kit completo universal para caixa acoplada de vaso sanitário</t>
  </si>
  <si>
    <t>und</t>
  </si>
  <si>
    <t>5.2</t>
  </si>
  <si>
    <t>Armário plástico para banheiro branco com espelho</t>
  </si>
  <si>
    <t>5.3</t>
  </si>
  <si>
    <t>Grelha do ralo de plástico do banheiro quadrada 15cm</t>
  </si>
  <si>
    <t>5.4</t>
  </si>
  <si>
    <t>Engate Flexivel Pvc 50 Cm Para Pia Cuba Banheiro</t>
  </si>
  <si>
    <t>5.5</t>
  </si>
  <si>
    <t>Saboneteira de plástico de parede para banheiro</t>
  </si>
  <si>
    <t>ELÉTRICO</t>
  </si>
  <si>
    <t>6.1</t>
  </si>
  <si>
    <t>Lâmpada tubular led 18w</t>
  </si>
  <si>
    <t>6.2</t>
  </si>
  <si>
    <t>Lâmpada tubular led 9w</t>
  </si>
  <si>
    <t>6.3</t>
  </si>
  <si>
    <t>Luminária embutir com aletas T8/T10 2x18W LED - fornecimento e instalação.</t>
  </si>
  <si>
    <t>6.4</t>
  </si>
  <si>
    <t>Luminária embutir com aletas T8/T10 2x9W LED - fornecimento e instalação.</t>
  </si>
  <si>
    <t>OUTROS SERVIÇOS</t>
  </si>
  <si>
    <t>7.1</t>
  </si>
  <si>
    <t>VIDROS QUEBRADOS DA PORTA DA ESCADA</t>
  </si>
  <si>
    <t>7.1.1</t>
  </si>
  <si>
    <t>instalação de vidro liso incolor, e = 5 mm, em esquadria de aço</t>
  </si>
  <si>
    <t>7.2</t>
  </si>
  <si>
    <t>BOX DO BANHEIRO DA SALA 4</t>
  </si>
  <si>
    <t>7.2.1</t>
  </si>
  <si>
    <t>Instalação de vidro temperado, e = 6 mm, encaixado em perfil u (Box de banheiro)</t>
  </si>
  <si>
    <t>DESPESAS INDIRETAS DA OBRA</t>
  </si>
  <si>
    <t>8.1</t>
  </si>
  <si>
    <t>Administração local da obra</t>
  </si>
  <si>
    <t>CREA-RR</t>
  </si>
  <si>
    <t>8.2</t>
  </si>
  <si>
    <t>ART Engenheiro Civil</t>
  </si>
  <si>
    <t>CUSTO TOTAL</t>
  </si>
  <si>
    <t>PREÇO TOTAL BDI:</t>
  </si>
  <si>
    <t>OBSERVAÇÕES: 1 - Os serviços de despesas indiretas da obra devem ser medidos e pagos conforme o pecentual de execução da obra e deve ser mostrado no boletim de medição.</t>
  </si>
  <si>
    <t>ALTO ALEGRE</t>
  </si>
  <si>
    <t>15 DIAS</t>
  </si>
  <si>
    <t>IMPERMEABILIZAÇÃO</t>
  </si>
  <si>
    <t>MURO</t>
  </si>
  <si>
    <t>1.1.1</t>
  </si>
  <si>
    <t>Demolição de reboco, com espessura de até 55mm, inclusive afastamento</t>
  </si>
  <si>
    <t>1.1.2</t>
  </si>
  <si>
    <t>Massa única, para recebimento de pintura, em argamassa traço 1:2:8, preparo manual, aplicada manualmente em faces internas de paredes, espes sura de 20mm, com execução de taliscas.</t>
  </si>
  <si>
    <t>1.1.3</t>
  </si>
  <si>
    <t xml:space="preserve">Impermeabilização de superfície com argamassa polimérica / membrana acrílica, 3 demãos. </t>
  </si>
  <si>
    <t>PAREDE EXTERNA</t>
  </si>
  <si>
    <t>1.2.1</t>
  </si>
  <si>
    <t xml:space="preserve">PINTURA </t>
  </si>
  <si>
    <t>PINTURA EXTERNA E INTERNA</t>
  </si>
  <si>
    <t>2.3</t>
  </si>
  <si>
    <t>PINTURA DAS GRADES</t>
  </si>
  <si>
    <t>2.3.1</t>
  </si>
  <si>
    <t>2.3.2</t>
  </si>
  <si>
    <t>2.4</t>
  </si>
  <si>
    <t>PINTURA DOS MASTROS</t>
  </si>
  <si>
    <t>2.4.1</t>
  </si>
  <si>
    <t>Pintura com tinta alquídica de fundo (tipo zarcão) aplicada a rolo ou pincel sobre superfícies metálicas (exceto perfil) executado em obra</t>
  </si>
  <si>
    <t>2.4.2</t>
  </si>
  <si>
    <t>2.5</t>
  </si>
  <si>
    <t>2.5.1</t>
  </si>
  <si>
    <t>2.5.2</t>
  </si>
  <si>
    <t>MASTRO</t>
  </si>
  <si>
    <t>Mastro para bandeira com comprimento de 4m</t>
  </si>
  <si>
    <t>ANTIDERRAPANTE AUDITÓRIO</t>
  </si>
  <si>
    <t>COMP. 12 - DPE</t>
  </si>
  <si>
    <t>Fita antiderrapante para piso - Fornecimento e instalação</t>
  </si>
  <si>
    <t>m</t>
  </si>
  <si>
    <t>luminária de emergência, com 30 lâmpadas led de 2 w, sem reator - fornecimento e instalação.</t>
  </si>
  <si>
    <t>LIMPEZA DA CAIXA DAGUA</t>
  </si>
  <si>
    <t>Limpeza de caixa d'água</t>
  </si>
  <si>
    <t xml:space="preserve"> DESPESAS INDIRETAS DA OBRA</t>
  </si>
  <si>
    <t>Despesas de transporte de material para o canteiro (Boa Vista - Alto Alegre)</t>
  </si>
  <si>
    <t>Gasolina comum</t>
  </si>
  <si>
    <t>l</t>
  </si>
  <si>
    <t>CANTÁ</t>
  </si>
  <si>
    <t>7 DIAS</t>
  </si>
  <si>
    <t>TROCA DA PORTA DE MADEIRA PRINCIPAL</t>
  </si>
  <si>
    <t>Remoção de portas, de forma manual, sem reaproveitamento.</t>
  </si>
  <si>
    <t>m2</t>
  </si>
  <si>
    <t xml:space="preserve">kit de porta de madeira para pintura, semi-oca (leve ou média), padrão médio, 80x210cm, espessura de 3,5cm, itens inclusos: dobradiças, montagem e instalação do batente, fechadura com execução do furo - forneci mento e instalação. </t>
  </si>
  <si>
    <t>FORRO DE PVC</t>
  </si>
  <si>
    <t>forro de pvc, liso, para ambientes comerciais, inclusive estrutura de fixação.</t>
  </si>
  <si>
    <t>PAREDES</t>
  </si>
  <si>
    <t>GRADES</t>
  </si>
  <si>
    <t>3.2.3</t>
  </si>
  <si>
    <t>PORTA DA ENTRADA</t>
  </si>
  <si>
    <t>pintura fundo nivelador alquídico branco em madeira</t>
  </si>
  <si>
    <t>aplicação massa alquídica para madeira, para pintura com tinta de acabamento (pigmentada)</t>
  </si>
  <si>
    <t>3.3.3</t>
  </si>
  <si>
    <t>pintura tinta de acabamento (pigmentada) a óleo em madeira, 2 demãos</t>
  </si>
  <si>
    <t>ABRIGO DO HIDRÔMETRO</t>
  </si>
  <si>
    <t>caixa em concreto pré-moldado para abrigo de hidrômetro com dn 20 (½) fornecimento e instalação</t>
  </si>
  <si>
    <t>Despesas de transporte de material para o canteiro (Boa Vista - Cantá)</t>
  </si>
  <si>
    <t>BONFIM</t>
  </si>
  <si>
    <t>TROCA DAS PORTAS</t>
  </si>
  <si>
    <t>Porta de ferro, de abrir, tipo grade com chapa, com guarnições</t>
  </si>
  <si>
    <t>1.3</t>
  </si>
  <si>
    <t>Porta sáida de emergencia (P-90) - 1,60x2,10 para auditorio</t>
  </si>
  <si>
    <t>REPAROS NO REVESTIMENTO EXTERNO</t>
  </si>
  <si>
    <t>Demolição de revestimento cerâmico, de forma manual, sem reaproveitamento</t>
  </si>
  <si>
    <t>Revestimento em parede até 1,00m - paredes externas</t>
  </si>
  <si>
    <t>REPARO NA PINTURA</t>
  </si>
  <si>
    <t xml:space="preserve">  </t>
  </si>
  <si>
    <t>Aplicação e lixamento de massa látex em paredes, duas demãos.</t>
  </si>
  <si>
    <t>PINTURA DAS PORTAS METÁLICAS</t>
  </si>
  <si>
    <t>3.4.3</t>
  </si>
  <si>
    <t>Despesas de transporte de material para o canteiro (Boa Vista - Bonfim)</t>
  </si>
  <si>
    <t>SÃO LUIZ</t>
  </si>
  <si>
    <t>TROCA DA PORTA DO BANHEIRO PNE</t>
  </si>
  <si>
    <t xml:space="preserve">PINTURA DA PORTA </t>
  </si>
  <si>
    <t>2.2.3</t>
  </si>
  <si>
    <t>Despesas de transporte de material para o canteiro (Boa Vista - São Luiz)</t>
  </si>
  <si>
    <t>PACARAIMA</t>
  </si>
  <si>
    <t>CAIXA DAGUA</t>
  </si>
  <si>
    <t>Execução de reservatório elevado de água (1000 litros) em canteiro de obra, apoiado em estrutura de madeira</t>
  </si>
  <si>
    <t>TANQUE DE LAVAR</t>
  </si>
  <si>
    <t xml:space="preserve">Execução de tanque de lavar roupas  110x60cm,  incluso execução de alvenria com 0,9m de altura e instalações de esgoto </t>
  </si>
  <si>
    <t>Despesas de transporte de material para o canteiro (Boa Vista - Pacaraima)</t>
  </si>
  <si>
    <t>RORAINÓPOLIS</t>
  </si>
  <si>
    <t>10 DIAS</t>
  </si>
  <si>
    <t>PINTURA EXTERNA</t>
  </si>
  <si>
    <t>PINTURA INTERNA</t>
  </si>
  <si>
    <t>1.2.2</t>
  </si>
  <si>
    <t>1.2.3</t>
  </si>
  <si>
    <t>Lona plástica pesd preta, E= 150 micra</t>
  </si>
  <si>
    <t>1.3.1</t>
  </si>
  <si>
    <t>1.3.2</t>
  </si>
  <si>
    <t>1.3.3</t>
  </si>
  <si>
    <t>VIDRO QUEBRADOS DA JANELA</t>
  </si>
  <si>
    <t>Despesas de transporte de materiais p/ o canteiro</t>
  </si>
  <si>
    <t>MUCAJAÍ</t>
  </si>
  <si>
    <t>1 DIA</t>
  </si>
  <si>
    <t>Sifao plastico flexivel saida vertical para coluna lavatorio, 1 x 1.1/2 "</t>
  </si>
  <si>
    <t>UNID</t>
  </si>
  <si>
    <t>Caixa de gordura simples (capacidade: 36 l), retangular, em alvenaria com blocos de concreto, dimensões internas = 0,2x0,4 m, altura interna = 0,8 m..</t>
  </si>
  <si>
    <t>'</t>
  </si>
  <si>
    <t>ANEXO PB III  -  MEMÓRIA DE CÁLCULO DOS QUANTITATIVOS</t>
  </si>
  <si>
    <t>PENHA BRASIL</t>
  </si>
  <si>
    <t>1. TROCA DE CERÂMICAS QUEBRADAS</t>
  </si>
  <si>
    <t>DISCRIMINAÇÃO</t>
  </si>
  <si>
    <t>Área</t>
  </si>
  <si>
    <t>TOTAL (m²)</t>
  </si>
  <si>
    <t>Calçada de entrada</t>
  </si>
  <si>
    <t>Área de uma cerâmica (41x41cm)</t>
  </si>
  <si>
    <t>Quant.</t>
  </si>
  <si>
    <t>Térreo</t>
  </si>
  <si>
    <t>1 PAVIMENTO</t>
  </si>
  <si>
    <t>3 PAVIMENTO</t>
  </si>
  <si>
    <t>2. FORRO E SHAFT</t>
  </si>
  <si>
    <t>REPAROS NO FORRO</t>
  </si>
  <si>
    <t>Área a ser reparada</t>
  </si>
  <si>
    <t>Pav 1</t>
  </si>
  <si>
    <t>Pav 2</t>
  </si>
  <si>
    <t>Pav 3</t>
  </si>
  <si>
    <t>REPAROS NO SHAFT</t>
  </si>
  <si>
    <t>3 - PINTURA</t>
  </si>
  <si>
    <t>TÉRREO</t>
  </si>
  <si>
    <t>COMPRIM. (m)</t>
  </si>
  <si>
    <t>ALTURA (m)</t>
  </si>
  <si>
    <t>DESCONTO (m²)</t>
  </si>
  <si>
    <t>LADOS</t>
  </si>
  <si>
    <t>QTD. PILARES</t>
  </si>
  <si>
    <t>INTERNO</t>
  </si>
  <si>
    <t>CONF. PE DIREITO</t>
  </si>
  <si>
    <t>PORTAS / JANELAS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</si>
  <si>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</si>
  <si>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</si>
  <si>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</si>
  <si>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</si>
  <si>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</si>
  <si>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</si>
  <si>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</si>
  <si>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</si>
  <si>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</si>
  <si>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</si>
  <si>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Pilares internos</t>
  </si>
  <si>
    <t>SUB TOTAL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</si>
  <si>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</si>
  <si>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</si>
  <si>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</si>
  <si>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</si>
  <si>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</si>
  <si>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</si>
  <si>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</si>
  <si>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</si>
  <si>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</si>
  <si>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2 PAVIMENTO</t>
  </si>
  <si>
    <t xml:space="preserve">DISCRIMINAÇÃO
</t>
  </si>
  <si>
    <t>ÁREA (m²)</t>
  </si>
  <si>
    <t>Sala 1</t>
  </si>
  <si>
    <t>Sala 2</t>
  </si>
  <si>
    <t>Sala 3</t>
  </si>
  <si>
    <t>Sala 4</t>
  </si>
  <si>
    <t>Sala 5</t>
  </si>
  <si>
    <t>Sala 6</t>
  </si>
  <si>
    <t>Sala 7</t>
  </si>
  <si>
    <t>Sala 8</t>
  </si>
  <si>
    <t>Sala 9</t>
  </si>
  <si>
    <t>COMP.</t>
  </si>
  <si>
    <t>LARGURA</t>
  </si>
  <si>
    <t>ÁREA</t>
  </si>
  <si>
    <t>PORTAS INTERNAS DE MADEIRA</t>
  </si>
  <si>
    <t>FOLHA</t>
  </si>
  <si>
    <t>BATENTE</t>
  </si>
  <si>
    <t>ALISAR</t>
  </si>
  <si>
    <t>QTD</t>
  </si>
  <si>
    <t>Portas 0,60X2,10m</t>
  </si>
  <si>
    <t>Portas 0,80x2,10m</t>
  </si>
  <si>
    <t>Portas 0,60x1,84m (Banheiro abiaxo da escada)</t>
  </si>
  <si>
    <t>Tubo de 16 cm de circuferência</t>
  </si>
  <si>
    <t>Tubo de 08 cm de circuferência</t>
  </si>
  <si>
    <t>Chapas de apoio</t>
  </si>
  <si>
    <t>COMP. TUBOS 25CM</t>
  </si>
  <si>
    <t>COMP. TUBOS 20CM</t>
  </si>
  <si>
    <t>LARG. TUBOS 25CM</t>
  </si>
  <si>
    <t>LARG. TUBOS 20CM</t>
  </si>
  <si>
    <t>1 Pavimento</t>
  </si>
  <si>
    <t>2 Pvimento</t>
  </si>
  <si>
    <t>3 Pavimento</t>
  </si>
  <si>
    <t>PORTAS DE ENROLAR</t>
  </si>
  <si>
    <t>Altura</t>
  </si>
  <si>
    <t>Proteção (m²)</t>
  </si>
  <si>
    <t>Quantidade</t>
  </si>
  <si>
    <t>Porta de enrolar 2,90x3,00m</t>
  </si>
  <si>
    <t>Porta de enrolar 2,60x3,01m</t>
  </si>
  <si>
    <t>Porta de enrolar 3,17x3,02m</t>
  </si>
  <si>
    <t>Porta de entrada da escada</t>
  </si>
  <si>
    <t>Porta da escada 3 pavimento</t>
  </si>
  <si>
    <t>Porta do depósito embaixo da escada</t>
  </si>
  <si>
    <t xml:space="preserve">             </t>
  </si>
  <si>
    <t>TOTA</t>
  </si>
  <si>
    <t>PINTURA DA CALÇADA</t>
  </si>
  <si>
    <t>Àrea</t>
  </si>
  <si>
    <t>Desconto</t>
  </si>
  <si>
    <t>Piso a ser pintada</t>
  </si>
  <si>
    <t>F192-G192</t>
  </si>
  <si>
    <t>Encima</t>
  </si>
  <si>
    <t>lados</t>
  </si>
  <si>
    <t>Canteiros</t>
  </si>
  <si>
    <t>CAIXAS DE INCÊNDIO</t>
  </si>
  <si>
    <t>Caixa de incêndio</t>
  </si>
  <si>
    <t>Largura</t>
  </si>
  <si>
    <t>Comp.</t>
  </si>
  <si>
    <t>Tubo</t>
  </si>
  <si>
    <t>SINALIZAÇÃO DE INCÊNDIO</t>
  </si>
  <si>
    <t>sinalização de piso dos extintores</t>
  </si>
  <si>
    <t>sinaliz de piso dos hidrantes</t>
  </si>
  <si>
    <t>sinaliz. de piso hidrante da calçada</t>
  </si>
  <si>
    <t>Janela 1,20x1,10m</t>
  </si>
  <si>
    <t>Janela 2,68x1,10m</t>
  </si>
  <si>
    <t>Janela 0,76x1,10m</t>
  </si>
  <si>
    <t>Janela 2,40x1,10m</t>
  </si>
  <si>
    <t>Janela 1,27x1,10m</t>
  </si>
  <si>
    <t>Janela 2,00x1,10m</t>
  </si>
  <si>
    <t>Lâmpda led de enroscar 15w</t>
  </si>
  <si>
    <t>Lâmpda led 9w</t>
  </si>
  <si>
    <t>Lãmpada tubular 18w</t>
  </si>
  <si>
    <t>Lãmpada tubular 9w</t>
  </si>
  <si>
    <t>Luminária para lâmpadas 18w</t>
  </si>
  <si>
    <t>Luminária para lâmpadas 9w</t>
  </si>
  <si>
    <t>Vidro incolor 5mm 12,5x41cm</t>
  </si>
  <si>
    <t>Lrgura</t>
  </si>
  <si>
    <t>Vidro temperado 6mm</t>
  </si>
  <si>
    <t>ADMINISTRAÇÃO LOCAL DA OBRA</t>
  </si>
  <si>
    <t>horas/dia</t>
  </si>
  <si>
    <t>quantidade de de dias</t>
  </si>
  <si>
    <t xml:space="preserve">Engenheiro ou Arquiteto </t>
  </si>
  <si>
    <t xml:space="preserve">Mestre de Obras </t>
  </si>
  <si>
    <t xml:space="preserve">Vigia noturno </t>
  </si>
  <si>
    <t>IMPERMEABILIZAAÇÃO DO MURO</t>
  </si>
  <si>
    <t>àrea a ser impermeabilizada</t>
  </si>
  <si>
    <t>IMPERMEABILIZAAÇÃO DAS PAREDES EXTERNAS</t>
  </si>
  <si>
    <t xml:space="preserve">PORTAS </t>
  </si>
  <si>
    <t>JANELAS</t>
  </si>
  <si>
    <t>Fachada principal</t>
  </si>
  <si>
    <t>Fachada lateral direita</t>
  </si>
  <si>
    <t>Fachada posterior</t>
  </si>
  <si>
    <t>Fachada Lateral esquerda</t>
  </si>
  <si>
    <t>EXTERNO</t>
  </si>
  <si>
    <t>PASTILHAS</t>
  </si>
  <si>
    <t>P20</t>
  </si>
  <si>
    <t>P21</t>
  </si>
  <si>
    <t>P22</t>
  </si>
  <si>
    <t>P23</t>
  </si>
  <si>
    <t>P24</t>
  </si>
  <si>
    <t>P25</t>
  </si>
  <si>
    <t>P26</t>
  </si>
  <si>
    <t>P27</t>
  </si>
  <si>
    <t>Platibanda</t>
  </si>
  <si>
    <t>Reservatorio</t>
  </si>
  <si>
    <t>Laje Externa</t>
  </si>
  <si>
    <t>Lados</t>
  </si>
  <si>
    <t>Área (m²)</t>
  </si>
  <si>
    <t>J1</t>
  </si>
  <si>
    <t>J2</t>
  </si>
  <si>
    <t>J3</t>
  </si>
  <si>
    <t>J4</t>
  </si>
  <si>
    <t>Mastro de 4m</t>
  </si>
  <si>
    <t>PINTURA DO MURO</t>
  </si>
  <si>
    <t>àrea a ser pintada</t>
  </si>
  <si>
    <t>Comp. 1 faixa</t>
  </si>
  <si>
    <t>TOTAL (m)</t>
  </si>
  <si>
    <t>Fita antiderrapante</t>
  </si>
  <si>
    <t>TRANSPORTE DE MATERIAL</t>
  </si>
  <si>
    <t>COMPOSI.</t>
  </si>
  <si>
    <t>CONSUMO</t>
  </si>
  <si>
    <t>PESO ESPECÍF. (KG/UND)</t>
  </si>
  <si>
    <t>PESO TOTAL (TON)</t>
  </si>
  <si>
    <t>Massa única/reboco (m²)</t>
  </si>
  <si>
    <t>Cimento</t>
  </si>
  <si>
    <t>cimento (kg)</t>
  </si>
  <si>
    <t>Cal hidratada</t>
  </si>
  <si>
    <t>cal (kg)</t>
  </si>
  <si>
    <t xml:space="preserve">Areia média </t>
  </si>
  <si>
    <t>areia (m³)</t>
  </si>
  <si>
    <t>Impermeabilização (m²)</t>
  </si>
  <si>
    <t>Argamassa polimérica</t>
  </si>
  <si>
    <t>argamassa (kg)</t>
  </si>
  <si>
    <t>Pintura do muro e paredes (m²)</t>
  </si>
  <si>
    <t>Tinta acrílica</t>
  </si>
  <si>
    <t>Tinta acrílica (l)</t>
  </si>
  <si>
    <t>kg/l</t>
  </si>
  <si>
    <t>Pintura em metal (m²)</t>
  </si>
  <si>
    <t>Tinta esmalte sintético brilhante</t>
  </si>
  <si>
    <t>Tinta esmalte (l)</t>
  </si>
  <si>
    <t>Mastro para bandeira (m)</t>
  </si>
  <si>
    <t>Tubo de aço galvanizado</t>
  </si>
  <si>
    <t>Tubo (m)</t>
  </si>
  <si>
    <t>Distância até Alto Alegre</t>
  </si>
  <si>
    <t>km</t>
  </si>
  <si>
    <t>Caminhão basculante (tonxkm) até 30km</t>
  </si>
  <si>
    <t>Caminhão basculante (tonxkm) após 30km</t>
  </si>
  <si>
    <t>Caminhão carroceria (tonxkm) até 30km</t>
  </si>
  <si>
    <t>Caminhão carroceria (tonxkm) após 30km</t>
  </si>
  <si>
    <t>TRANSPORTE DOS TRABALHADORES</t>
  </si>
  <si>
    <t>Distância de Boa Vista até Alto Alegre (Km)</t>
  </si>
  <si>
    <t>Rendimento Combustivél até Alto Alegre (Km/l)</t>
  </si>
  <si>
    <t>Quantidade de combustivél gasto</t>
  </si>
  <si>
    <t>Porta principal</t>
  </si>
  <si>
    <t>largura</t>
  </si>
  <si>
    <t>Forro do corredor</t>
  </si>
  <si>
    <t>PINTURA DAS PAREDES</t>
  </si>
  <si>
    <t>Comp. (m)</t>
  </si>
  <si>
    <t>Altura (m)</t>
  </si>
  <si>
    <t>Desc,</t>
  </si>
  <si>
    <t>Porta</t>
  </si>
  <si>
    <t>janelas</t>
  </si>
  <si>
    <t>Externa</t>
  </si>
  <si>
    <t>Recepção</t>
  </si>
  <si>
    <t>copa</t>
  </si>
  <si>
    <t>Depósito</t>
  </si>
  <si>
    <t>circulação</t>
  </si>
  <si>
    <t>banheiro</t>
  </si>
  <si>
    <t>Janelas 1,15x1,00m</t>
  </si>
  <si>
    <t>Janelas 1,00x1,00m</t>
  </si>
  <si>
    <t>Janelas 2,00x1,0m</t>
  </si>
  <si>
    <t>PORTA DE MADEIRA DA ENTRATDA</t>
  </si>
  <si>
    <t>Portas 0,80X2,10m</t>
  </si>
  <si>
    <t>Porta de madeira (80x210)</t>
  </si>
  <si>
    <t>madeira (m³)</t>
  </si>
  <si>
    <t>Forro de PVC</t>
  </si>
  <si>
    <t>Forro de pvc (m²)</t>
  </si>
  <si>
    <t>Pintura em paredes (m²)</t>
  </si>
  <si>
    <t>Abrigo do hidrômetro</t>
  </si>
  <si>
    <t>Concreto (m³)</t>
  </si>
  <si>
    <t>Distância até Cantá</t>
  </si>
  <si>
    <t>Distância de Boa Vista até Cantá (Km)</t>
  </si>
  <si>
    <t>REMOÇÃO DAS PORTAS</t>
  </si>
  <si>
    <t>porta  1,60x2,10m</t>
  </si>
  <si>
    <t>porta  0,80x2,10m</t>
  </si>
  <si>
    <t>PORTAS DE AÇO</t>
  </si>
  <si>
    <t>Portas de aço 0,80x2,10m</t>
  </si>
  <si>
    <t>Portas de aço 1,60x2,10m</t>
  </si>
  <si>
    <t>Revestimento externo ser reparado</t>
  </si>
  <si>
    <t>REPAROS NA PINTURA</t>
  </si>
  <si>
    <t>Portas 2,10x0,8m</t>
  </si>
  <si>
    <t>Portas 1,60x2,10m</t>
  </si>
  <si>
    <t>Mastro 4,50m</t>
  </si>
  <si>
    <t>Mastro 4,00m</t>
  </si>
  <si>
    <t>Porta de ferro</t>
  </si>
  <si>
    <t>Porta de ferro (80x210)</t>
  </si>
  <si>
    <t>aço (m³)</t>
  </si>
  <si>
    <t>Porta de saída de mergência</t>
  </si>
  <si>
    <t>Porta de saída de mergência (160x210)</t>
  </si>
  <si>
    <t>Distância até Bonfim</t>
  </si>
  <si>
    <t>Distância de Boa Vista até Bonfim (Km)</t>
  </si>
  <si>
    <t>Rendimento Combustivél até Bonfim (Km/l)</t>
  </si>
  <si>
    <t>Porta 0,90X2,10m</t>
  </si>
  <si>
    <t>Portas 2,10x0,9m</t>
  </si>
  <si>
    <t>PINTURA DA PORTA</t>
  </si>
  <si>
    <t>Portas 0,90X2,10m</t>
  </si>
  <si>
    <t>Distância até são Luiz</t>
  </si>
  <si>
    <t>Distância de Boa Vista até São Luiz (Km)</t>
  </si>
  <si>
    <t>Rendimento Combustivél até São Luiz (Km/l)</t>
  </si>
  <si>
    <t>Caixa d'água 1000l</t>
  </si>
  <si>
    <t>Caixa dágua (kg)</t>
  </si>
  <si>
    <t>Estrutura de madeira p/ caixa d'agua</t>
  </si>
  <si>
    <t>madeiramento</t>
  </si>
  <si>
    <t>Distância até Pacaraima</t>
  </si>
  <si>
    <t>Distância de Boa Vista até Pacaraima (Km)</t>
  </si>
  <si>
    <t>Rendimento Combustivél até Pacaraima (Km/l)</t>
  </si>
  <si>
    <t>PAREDES EXTERNAS</t>
  </si>
  <si>
    <t>Comprimento da Parede</t>
  </si>
  <si>
    <t>Pé Direito</t>
  </si>
  <si>
    <t>Area Parede</t>
  </si>
  <si>
    <t>Tipo de Esquadria</t>
  </si>
  <si>
    <t>Area Esquadria</t>
  </si>
  <si>
    <t>Area Descontada</t>
  </si>
  <si>
    <t>J1 E J2</t>
  </si>
  <si>
    <t xml:space="preserve">P3 E J2 </t>
  </si>
  <si>
    <t xml:space="preserve">P3 </t>
  </si>
  <si>
    <t>PILARES</t>
  </si>
  <si>
    <t>PAREDES INTERNAS</t>
  </si>
  <si>
    <t>Tipo de Equadria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</si>
  <si>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</si>
  <si>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</si>
  <si>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</si>
  <si>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</si>
  <si>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</si>
  <si>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</si>
  <si>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</si>
  <si>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</si>
  <si>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</si>
  <si>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Gradil</t>
  </si>
  <si>
    <t>Area (m²)</t>
  </si>
  <si>
    <t>frente (m²)</t>
  </si>
  <si>
    <t>lados (m²)</t>
  </si>
  <si>
    <t>Centrais de ar</t>
  </si>
  <si>
    <t>VIDRO QUEBRADO DA JANELA</t>
  </si>
  <si>
    <t>Vidro incolor 5mm 120x50cm</t>
  </si>
  <si>
    <t>Pintura das paredes</t>
  </si>
  <si>
    <t>Distância até Roraiópolis</t>
  </si>
  <si>
    <t>Distância de Boa Vista até Rorainópolis (Km)</t>
  </si>
  <si>
    <t>Rendimento Combustivél até Rorainópolis (Km/l)</t>
  </si>
  <si>
    <t>Distância até Muajaí</t>
  </si>
  <si>
    <t>Distância de Boa Vista até Mucajaí (Km)</t>
  </si>
  <si>
    <t>Rendimento Combustivél até Mucajaí (Km/l)</t>
  </si>
  <si>
    <t>ANEXO PB IV   -   COMPOSIÇÕES DE CUSTOS AUXILIARES</t>
  </si>
  <si>
    <t>BASE: SINAPI RR JUNHO/2021 DESONERADO</t>
  </si>
  <si>
    <t>COMP. 01 - DPE</t>
  </si>
  <si>
    <t>UNID.=</t>
  </si>
  <si>
    <t>CÓD. SINAPI</t>
  </si>
  <si>
    <t>DESCRIÇÃO</t>
  </si>
  <si>
    <t>UN</t>
  </si>
  <si>
    <t>CONS.</t>
  </si>
  <si>
    <t>PREÇO</t>
  </si>
  <si>
    <t>P.TOTAL</t>
  </si>
  <si>
    <t>Lixa em folha para parede ou madeira, nº120 (Cor Vermelha)</t>
  </si>
  <si>
    <t>Servente com encargos complementares</t>
  </si>
  <si>
    <t>h</t>
  </si>
  <si>
    <t>COMP. 02 - DPE</t>
  </si>
  <si>
    <t>COMP. 03- DPE</t>
  </si>
  <si>
    <t>Lixamento de rodateto</t>
  </si>
  <si>
    <t>COMP. 04- DPE</t>
  </si>
  <si>
    <t>7356</t>
  </si>
  <si>
    <t>Tinta acrilica premium, cor definida pela fiscalização</t>
  </si>
  <si>
    <t>88310</t>
  </si>
  <si>
    <t>Pintor com encargos complementares</t>
  </si>
  <si>
    <t/>
  </si>
  <si>
    <t>COMP. 05  DPE</t>
  </si>
  <si>
    <t>5318</t>
  </si>
  <si>
    <t>Solvente diluente a base de aguarras</t>
  </si>
  <si>
    <t>COTAÇÂO 10</t>
  </si>
  <si>
    <t>Detergente neutro uso geral, galão 500ml</t>
  </si>
  <si>
    <t>COTAÇÂO 11</t>
  </si>
  <si>
    <t>Limpa vidros pronto uso, 500 ml</t>
  </si>
  <si>
    <t>COMP. 06  DPE</t>
  </si>
  <si>
    <t>1381</t>
  </si>
  <si>
    <t>Argamassa colante AC I para cerâmicas</t>
  </si>
  <si>
    <t>Kg</t>
  </si>
  <si>
    <t>Rejunte cimenticio, qualquer cor</t>
  </si>
  <si>
    <t>Azulejista ou ladrilhista com encargos complementares</t>
  </si>
  <si>
    <t>COMP. 07  DPE</t>
  </si>
  <si>
    <t>10493</t>
  </si>
  <si>
    <t>Vidro liso incolor 5mm - sem colocacao</t>
  </si>
  <si>
    <t>10498</t>
  </si>
  <si>
    <t>Massa para vidro</t>
  </si>
  <si>
    <t>vidraceiro com encargos complementares</t>
  </si>
  <si>
    <t>COMP. 08  DPE</t>
  </si>
  <si>
    <t>10505</t>
  </si>
  <si>
    <t>vidro temperado incolor e = 6 mm, sem colocacao</t>
  </si>
  <si>
    <t>39961</t>
  </si>
  <si>
    <t>silicone acetico uso geral incolor 280 g</t>
  </si>
  <si>
    <t>Vidraceiro com encargos complementares</t>
  </si>
  <si>
    <t>COMP. 09  DPE</t>
  </si>
  <si>
    <t>COTAÇÂO 08</t>
  </si>
  <si>
    <t>Luminária embutir com aletas T8/T10 2x32x36x40W</t>
  </si>
  <si>
    <t>Eletricista com encargos complementares</t>
  </si>
  <si>
    <t>COMP. 10  DPE</t>
  </si>
  <si>
    <t>Luminária embutir com aletas T8/T10 2xx20W</t>
  </si>
  <si>
    <t>COMP. 11  DPE</t>
  </si>
  <si>
    <t>Engenheiro ou Arquiteto com encargos complementares              1 vezes/semana x 4 horas/dia x 3 meses</t>
  </si>
  <si>
    <t xml:space="preserve">Mestre de Obras com encargos complementares           </t>
  </si>
  <si>
    <t xml:space="preserve">Vigia noturno com encargos complementares </t>
  </si>
  <si>
    <t>COMP. 12  DPE</t>
  </si>
  <si>
    <t>COTAÇÂO 12</t>
  </si>
  <si>
    <t>Fita Antiderrapante 50mm</t>
  </si>
  <si>
    <t>COMP. 13  DPE</t>
  </si>
  <si>
    <t>Tubo aço Galvanizado DN 65mm</t>
  </si>
  <si>
    <t>Concreto</t>
  </si>
  <si>
    <t>m3</t>
  </si>
  <si>
    <t>Adensamento de Concreto</t>
  </si>
  <si>
    <t>Pedreiro com encargos Complementares</t>
  </si>
  <si>
    <t>COMP. 14  DPE</t>
  </si>
  <si>
    <t>COTAÇÂO 13</t>
  </si>
  <si>
    <t>Água sanitária 1l</t>
  </si>
  <si>
    <t>COMP. 15 - DPE</t>
  </si>
  <si>
    <t>P.UNIT.</t>
  </si>
  <si>
    <t>Transporte com caminhão basculante de 6 m³, em via urbana pavimentada,dmt até 30 km (unidade: txkm).</t>
  </si>
  <si>
    <t>tonxkm</t>
  </si>
  <si>
    <t>Transporte com caminhão basculante de 6 m³, em via urbana pavimentada, adicional para dmt excedente a 30 km (unidade: txkm)</t>
  </si>
  <si>
    <t>Transporte com caminhão carroceria 9t, em via urbana pavimentada, dmt até 30km (unidade: txkm)</t>
  </si>
  <si>
    <t>Transporte com caminhão carroceria 9t, em via urbana pavimentada, adicional para dmt excedente a 30 km (unidade: txkm)</t>
  </si>
  <si>
    <t>COMP. 16 - DPE</t>
  </si>
  <si>
    <t>Porta corta-fogo para saida de emergencia, com fechadura, vao luz de 90 x 210cm, classe p-90 (nbr 11742)</t>
  </si>
  <si>
    <t>Barra antipanico dupla, cega em lado oposto, cor cinza</t>
  </si>
  <si>
    <t>PAR</t>
  </si>
  <si>
    <t>COMP. 17 - DPE</t>
  </si>
  <si>
    <t>88309</t>
  </si>
  <si>
    <t>Predreiro com encargos complementares</t>
  </si>
  <si>
    <t>88316</t>
  </si>
  <si>
    <t>COMP. 18 - DPE</t>
  </si>
  <si>
    <t>36790</t>
  </si>
  <si>
    <t>Tanque duplo em marmore sintetico com cuba lisa e esfregador, *110 x 60* cm</t>
  </si>
  <si>
    <t>6148</t>
  </si>
  <si>
    <t>sifao plastico flexivel saida vertical para coluna lavatorio, 1 x 1.1/2 "</t>
  </si>
  <si>
    <t>Alvenaria de vedação de blocos cerâmicos furados na horizontal de 9x14x19cm (espessura 9cm) de paredes com área líquida menor que 6m² com vã os e argamassa de assentamento com preparo manual</t>
  </si>
  <si>
    <t>Chapisco aplicado em alvenarias e estruturas de concreto internas, com colher de pedreiro. argamassa traço 1:3 com preparo manual.</t>
  </si>
  <si>
    <t>Massa única, para recebimento de pintura, em argamassa traço 1:2:8, preparo manual, aplicada manualmente em faces internas de paredes, espes sura de 20mm, com execução de taliscas</t>
  </si>
  <si>
    <t>COMP. 19 - DPE</t>
  </si>
  <si>
    <t>COMP. 20 - DPE</t>
  </si>
  <si>
    <t>COMP. 21 - DPE</t>
  </si>
  <si>
    <t>COMP. 22 - DPE</t>
  </si>
  <si>
    <t>COMP. 23 - DPE</t>
  </si>
  <si>
    <t>Despesas de transporte de material para o canteiro (Boa Vista - Rorainópolis)</t>
  </si>
  <si>
    <r>
      <t>ANEXO PB V</t>
    </r>
    <r>
      <rPr>
        <b/>
        <sz val="12"/>
        <color indexed="8"/>
        <rFont val="Calibri"/>
        <family val="2"/>
      </rPr>
      <t xml:space="preserve"> - COTAÇÕES DE PREÇO</t>
    </r>
  </si>
  <si>
    <t>ACESSÓRIOS PARA BANHEIRO</t>
  </si>
  <si>
    <t>COTAÇÃO 01</t>
  </si>
  <si>
    <t>1ª Empresa</t>
  </si>
  <si>
    <t>2ª Empresa</t>
  </si>
  <si>
    <t>3ª Empresa</t>
  </si>
  <si>
    <t>VIMEZER FORNC. DE SERV. LTDA    CNPJ: 10.159.093/0002-36  End.:
Av. São Sebastião, 1647 - Santa Tereza - CEP: 69.312- 318 - BOA VISTA/RR</t>
  </si>
  <si>
    <t>L. M. SGUARIO E SILVA &amp; CIA LTDA.
CNPJ:05.950.456/0001-36 AVENIDA GLAYCON DE PAIVA , 2009, BAIRRO: SÃO VICENTE
TEL: 3621-8200</t>
  </si>
  <si>
    <t>BRASMOL COM. SERV. IMP. E EXP. LTDA                                                                                                                                                                                                                                                                                                                                                                                                                                                                                                              AVENIDA SURUMU,2099 - MECEJANA - BOA VISTA-RR                                                                                                                                                                                                                                                                                                                                                                                                                                                                       TEL: (95)2121-3570</t>
  </si>
  <si>
    <t>MEDIANA (R$)</t>
  </si>
  <si>
    <t>COTAÇÃO 02</t>
  </si>
  <si>
    <t>VIMEZER FORNC. DE SERV. LTDA    CNPJ: 10.159.093/0002-36  End.:
Av. São Sebastião, 1647 - Santa Tereza - CEP: 69.312- 318 - BOA VISTA/RR
TEL: (95)991639030</t>
  </si>
  <si>
    <t>COTAÇÃO 03</t>
  </si>
  <si>
    <t>PERIN 4V  MATERIAIS DE CONSTRUÇÃO LTDA. CNPJ: 29.628.340/0001-43
Avenida Capitão Julio Bezerra, 1637
TEL: (95)991639030</t>
  </si>
  <si>
    <t>COTAÇÃO 04</t>
  </si>
  <si>
    <t>COTAÇÃO 05</t>
  </si>
  <si>
    <t>COTAÇÃO 06</t>
  </si>
  <si>
    <t>COTAÇÃO 07</t>
  </si>
  <si>
    <t>COTAÇÃO 08</t>
  </si>
  <si>
    <t>https://www.benluz.com.br/none-114340544?utm_source=Site&amp;utm_medium=GoogleMerchant&amp;utm_campaign=GoogleMerchant&amp;gclid=Cj0KCQjwm9yJBhDTARIsABKIcGasBd6x36cjKbX_apbIb2s9lVLZFwtYbm4Ojfh8t3zgj_7uLfO_ZKcaAsagEALw_wcB (Acesso em 07/09/2021, ás 19:28)</t>
  </si>
  <si>
    <t xml:space="preserve"> https://www.inspirehome.com.br/checkout/cart/ (acesso em 07/09/2021, às 19:44)</t>
  </si>
  <si>
    <t>https://www.blight.com.br/checkout/cart?session_id=fhmssj922mloqpqv3vgonru343&amp;store_id=683033#carrinho (acesso em 07/09/2021, às 20:01)</t>
  </si>
  <si>
    <t>COTAÇÃO 09</t>
  </si>
  <si>
    <t>https://www.americanas.com.br/produto/105507276?opn=YSMESP&amp;sellerid=85014793000150&amp;epar=bp_pl_00_go_mv_todas_geral_gmv&amp;WT.srch=1&amp;acc=e789ea56094489dffd798f86ff51c7a9&amp;i=5cb006db49f937f6258de38d&amp;o=5d43ee8e6c28a3cb504a6362&amp;gclid=CjwKCAjwmeiIBhA6EiwA-uaeFehuipB2cylmzzyo8fmrMl2IKb_QkZUMA_XZ13LAj_fxVqH85pnBExoCuCwQAvD_BwE (acesso em 07/09/2021, às 20:05)</t>
  </si>
  <si>
    <t>https://www.luminadomus.com.br/luminaria-iluminacao-comercial-retangular-plafon-embutir-refletor-2x-t8-20w-60cm-escritorios-escolas-bancos-comercio-a402?utm_source=Site&amp;utm_medium=GoogleMerchant&amp;utm_campaign=GoogleMerchant (acesso em 07/09/2021, às 20:09)</t>
  </si>
  <si>
    <t>https://www.inspirehome.com.br/luminaria-de-embutir-comercial-retangular-refletor-aletas-2-tubular-t8-60cm-62-2x24-5cm-aluminio-lumavi-901?gclid=Cj0KCQjwm9yJBhDTARIsABKIcGa9itVIuHIEkePbDqRx71fBfP0Zks7wSqWRMu06l7wD2j4bmnrzdE4aAkFiEALw_wcB (acesso em 07/09/2021, às 20:17)</t>
  </si>
  <si>
    <t>Luminária embutir com aletas T8/T10 2x20W</t>
  </si>
  <si>
    <t>COTAÇÃO 10</t>
  </si>
  <si>
    <t>litros</t>
  </si>
  <si>
    <t>NOVA ERA SUPERMERCADO   R. João Alencar, 2181 - Cauamé, Boa Vista - RR      Tel (95) 4009-9300</t>
  </si>
  <si>
    <t>SUPER MERCADO GOIANA           Av. Av. Ville Roy, 6621 - São Francisco, Boa Vista - RR</t>
  </si>
  <si>
    <t>SUPERMERCADO GAVIÃO     Av. das Guianas, 673 - Treze de Setembro, Boa Vista - R</t>
  </si>
  <si>
    <t>Detergente neutro uso geral, galão 1l</t>
  </si>
  <si>
    <t>COTAÇÃO 11</t>
  </si>
  <si>
    <t>GLOBOMIX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Mário Homem de Melo, 2894 - Liberdade, Boa Vista - RR                                                                                                                                                                  Tel (095) 36265181,</t>
  </si>
  <si>
    <t>COTAÇÃO 12</t>
  </si>
  <si>
    <t>PAU BRASIL MADEREIRA E MATERIAIS DE CONSTRUÇÃO                          Av Gen. Ataíde teive, 3197 - Buritis</t>
  </si>
  <si>
    <t xml:space="preserve">Fita Antiderrapante 50mm </t>
  </si>
  <si>
    <t>COTAÇÃO 13</t>
  </si>
  <si>
    <t>GLOBOMIX                                                                                                                                                                                                                                                                                                                                                                                                                                                                                                                                                     Av. Mário Homem de Melo, 2894 - Liberdade, Boa Vista - RR                                                                                                                                                                  Tel (095) 36265181</t>
  </si>
  <si>
    <t xml:space="preserve">Água Sanitária 1l </t>
  </si>
  <si>
    <r>
      <t>ANEXO VI</t>
    </r>
    <r>
      <rPr>
        <b/>
        <sz val="12"/>
        <color indexed="8"/>
        <rFont val="Calibri"/>
        <family val="2"/>
      </rPr>
      <t xml:space="preserve"> CALCULO BDI</t>
    </r>
  </si>
  <si>
    <t>SERVIÇOS REALIZADOS NA CIDADE DE BOA VISTA</t>
  </si>
  <si>
    <t>COMPOSIÇÃO ANALÍTICA DO BDI - Construção de Edificação</t>
  </si>
  <si>
    <t>DISCRIMINIAÇÃO</t>
  </si>
  <si>
    <t>Índices</t>
  </si>
  <si>
    <t>ÍNDICE ADOTADO</t>
  </si>
  <si>
    <t>1º quartil</t>
  </si>
  <si>
    <t>médio</t>
  </si>
  <si>
    <t>3º quartil</t>
  </si>
  <si>
    <t>X</t>
  </si>
  <si>
    <t>Administração Central</t>
  </si>
  <si>
    <t>Risco</t>
  </si>
  <si>
    <t>Total</t>
  </si>
  <si>
    <t>Y</t>
  </si>
  <si>
    <t>Despesas Financeiras</t>
  </si>
  <si>
    <t>Z</t>
  </si>
  <si>
    <t>Lucro</t>
  </si>
  <si>
    <t>I</t>
  </si>
  <si>
    <t>Tributos (totais)</t>
  </si>
  <si>
    <t>COFINS</t>
  </si>
  <si>
    <t>PIS</t>
  </si>
  <si>
    <t>ISS</t>
  </si>
  <si>
    <t>CPRB</t>
  </si>
  <si>
    <t xml:space="preserve"> % DE BDI A SER UTILIZADO =</t>
  </si>
  <si>
    <t>LEGENDA</t>
  </si>
  <si>
    <t>FÓRMULA PARA CÁLCULO DO BDI</t>
  </si>
  <si>
    <t>X =</t>
  </si>
  <si>
    <t>Despesas indiretas (exceto tributos e despesas financeiras)</t>
  </si>
  <si>
    <t>Y =</t>
  </si>
  <si>
    <t>Despesas financeiras</t>
  </si>
  <si>
    <t>Z =</t>
  </si>
  <si>
    <t>I =</t>
  </si>
  <si>
    <t>Taxa representativa da incidência de impostos</t>
  </si>
  <si>
    <t>BDI=</t>
  </si>
  <si>
    <t>(1+X)     x</t>
  </si>
  <si>
    <t>(1+Y)    x</t>
  </si>
  <si>
    <t>(1+Z)</t>
  </si>
  <si>
    <t>-1</t>
  </si>
  <si>
    <t>(1 - I)</t>
  </si>
  <si>
    <t>- 1</t>
  </si>
  <si>
    <t>SERVIÇOS REALIZADOS NA CIDADE DE ALTO ALEGRE</t>
  </si>
  <si>
    <t>Seguro e Garantia</t>
  </si>
  <si>
    <t>SERVIÇOS REALIZADOS NA CIDADE DE BONFIM</t>
  </si>
  <si>
    <t>SERVIÇOS REALIZADOS NA CIDADE DE CANTÁ</t>
  </si>
  <si>
    <t>SERVIÇOS REALIZADOS NA CIDADE DE MUCAJAÍ</t>
  </si>
  <si>
    <t>SERVIÇOS REALIZADOS NA CIDADE DE PACARAIMA</t>
  </si>
  <si>
    <t>SERVIÇOS REALIZADOS NA CIDADE DE RORAINÓPOLIS</t>
  </si>
  <si>
    <t>SERVIÇOS REALIZADOS NA CIDADE DE SÃO LUIZ</t>
  </si>
  <si>
    <r>
      <t xml:space="preserve">Obs: Os valores máximos e mínimos foram adotados conforme orientação do </t>
    </r>
    <r>
      <rPr>
        <b/>
        <i/>
        <sz val="12"/>
        <color indexed="12"/>
        <rFont val="Calibri"/>
        <family val="2"/>
      </rPr>
      <t>ACÓRDÃO 2622/2013 – TCU – Plenário</t>
    </r>
    <r>
      <rPr>
        <b/>
        <i/>
        <sz val="12"/>
        <color indexed="8"/>
        <rFont val="Calibri"/>
        <family val="2"/>
      </rPr>
      <t>.</t>
    </r>
  </si>
  <si>
    <t>*Fórmula orientada pelo Tribunal de Contas da União para o cálculo final do BDI</t>
  </si>
  <si>
    <t>**Caso a empresa seja optante pelo Simples Nacional colocar os encargos conforme seu cadastramento no sistema e comprovar essa faixa utilizada para a Administração</t>
  </si>
  <si>
    <r>
      <t>ANEXO VI</t>
    </r>
    <r>
      <rPr>
        <b/>
        <sz val="12"/>
        <color indexed="8"/>
        <rFont val="Calibri"/>
        <family val="2"/>
      </rPr>
      <t xml:space="preserve"> - CALCULO BDI DE MERO FORNECIMENTO DE MATERIAIS E EQUIPAMENTO</t>
    </r>
  </si>
  <si>
    <t>SERVIÇOS REALIZADOS NA CIDADE DE BOA VISTA E REALIZADOS NOS MUNICÍPIOS DE ALTO ALEGRE, BONFIM, CANTÁ, CARACARAÍ, MUCAJAÍ, RORAINÓPOLIS PACARAIMA E SÃO LUIZ</t>
  </si>
  <si>
    <t>ANEXO PB VII - CRONOGRAMA FÍSICO-FINANCEIRO</t>
  </si>
  <si>
    <t>SERVIÇOS</t>
  </si>
  <si>
    <t>07D</t>
  </si>
  <si>
    <t>14D</t>
  </si>
  <si>
    <t>21D</t>
  </si>
  <si>
    <t xml:space="preserve"> </t>
  </si>
  <si>
    <t>PERCENTUAL SIMPLES</t>
  </si>
  <si>
    <t>PERCENTUAL ACUMULADO</t>
  </si>
  <si>
    <t>TOTAL SIMPLES</t>
  </si>
  <si>
    <t>TOTAL ACUMULADO</t>
  </si>
  <si>
    <t>05D</t>
  </si>
  <si>
    <t>10D</t>
  </si>
  <si>
    <t>15D</t>
  </si>
</sst>
</file>

<file path=xl/styles.xml><?xml version="1.0" encoding="utf-8"?>
<styleSheet xmlns="http://schemas.openxmlformats.org/spreadsheetml/2006/main">
  <numFmts count="48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&quot;R$ &quot;* #,##0.00_);_(&quot;R$ &quot;* \(#,##0.00\);_(&quot;R$ &quot;* &quot;-&quot;??_);_(@_)"/>
    <numFmt numFmtId="177" formatCode="_(* #,##0_);_(* \(#,##0\);_(* &quot;-&quot;_);_(@_)"/>
    <numFmt numFmtId="178" formatCode="_(&quot;R$ &quot;* #,##0_);_(&quot;R$ &quot;* \(#,##0\);_(&quot;R$ &quot;* &quot;-&quot;_);_(@_)"/>
    <numFmt numFmtId="179" formatCode="_(* #,##0.00_);_(* \(#,##0.00\);_(* &quot;-&quot;??_);_(@_)"/>
    <numFmt numFmtId="180" formatCode="_-* #,##0.00_-;\-* #,##0.00_-;_-* &quot;-&quot;??_-;_-@_-"/>
    <numFmt numFmtId="181" formatCode="#,##0.00&quot; &quot;;&quot; (&quot;#,##0.00&quot;)&quot;;&quot; -&quot;#&quot; &quot;;@&quot; &quot;"/>
    <numFmt numFmtId="182" formatCode="0.00###"/>
    <numFmt numFmtId="183" formatCode="0.00000"/>
    <numFmt numFmtId="184" formatCode="0&quot;.&quot;0"/>
    <numFmt numFmtId="185" formatCode="[$R$-416]&quot; &quot;#,##0.00;[Red]&quot;-&quot;[$R$-416]&quot; &quot;#,##0.00"/>
    <numFmt numFmtId="186" formatCode="[$-416]General"/>
    <numFmt numFmtId="187" formatCode="_(* #,##0.00_);_(* \(#,##0.00\);_(* \-??_);_(@_)"/>
    <numFmt numFmtId="188" formatCode="_([$€]* #,##0.00_);_([$€]* \(#,##0.00\);_([$€]* &quot;-&quot;??_);_(@_)"/>
    <numFmt numFmtId="189" formatCode="_([$€-2]* #,##0.00_);_([$€-2]* \(#,##0.00\);_([$€-2]* &quot;-&quot;??_)"/>
    <numFmt numFmtId="190" formatCode="_-&quot;R$ &quot;* #,##0.00_-;&quot;-R$ &quot;* #,##0.00_-;_-&quot;R$ &quot;* \-??_-;_-@_-"/>
    <numFmt numFmtId="191" formatCode="#,"/>
    <numFmt numFmtId="192" formatCode="#,##0.00;[Red]\-#,##0.00"/>
    <numFmt numFmtId="193" formatCode="#,##0.00&quot; &quot;;&quot; (&quot;#,##0.00&quot;)&quot;;&quot;-&quot;#&quot; &quot;;@&quot; &quot;"/>
    <numFmt numFmtId="194" formatCode="&quot;R$&quot;#,##0.00_);[Red]\(&quot;R$&quot;#,##0.00\)"/>
    <numFmt numFmtId="195" formatCode="0.000%"/>
    <numFmt numFmtId="196" formatCode="&quot;(1 + &quot;#,##0.00000&quot;) x&quot;"/>
    <numFmt numFmtId="197" formatCode="&quot;(1 + &quot;#,##0.00000&quot;)&quot;"/>
    <numFmt numFmtId="198" formatCode="&quot;(1 - &quot;#,##0.00000&quot;)&quot;"/>
    <numFmt numFmtId="199" formatCode="&quot;( &quot;#,##0.00000&quot;) x&quot;"/>
    <numFmt numFmtId="200" formatCode="&quot;( &quot;#,##0.00000&quot;)&quot;"/>
    <numFmt numFmtId="201" formatCode="#,##0.0000"/>
    <numFmt numFmtId="202" formatCode="#,##0.00000"/>
    <numFmt numFmtId="203" formatCode="0.00_ "/>
    <numFmt numFmtId="204" formatCode="0.000"/>
    <numFmt numFmtId="205" formatCode="0.0000"/>
    <numFmt numFmtId="206" formatCode="#,##0.000"/>
    <numFmt numFmtId="207" formatCode="&quot;R$&quot;\ #,##0.00"/>
    <numFmt numFmtId="208" formatCode="_(* #,##0_);_(* \(#,##0\);_(* &quot;-&quot;??_);_(@_)"/>
    <numFmt numFmtId="209" formatCode="m/d/yyyy;@"/>
    <numFmt numFmtId="210" formatCode="0.00_);[Red]\(0.00\)"/>
    <numFmt numFmtId="211" formatCode="&quot;R$&quot;#,##0.00"/>
  </numFmts>
  <fonts count="127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6"/>
      <name val="Calibri"/>
      <family val="2"/>
    </font>
    <font>
      <b/>
      <i/>
      <sz val="12"/>
      <color indexed="8"/>
      <name val="Calibri"/>
      <family val="2"/>
    </font>
    <font>
      <sz val="9"/>
      <name val="Arial"/>
      <family val="2"/>
    </font>
    <font>
      <b/>
      <sz val="8"/>
      <name val="Times New Roman"/>
      <family val="1"/>
    </font>
    <font>
      <sz val="12"/>
      <color indexed="10"/>
      <name val="Calibri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2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i/>
      <u val="single"/>
      <sz val="11"/>
      <color indexed="8"/>
      <name val="Arial1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2"/>
      <family val="2"/>
    </font>
    <font>
      <b/>
      <i/>
      <sz val="16"/>
      <color indexed="8"/>
      <name val="Arial1"/>
      <family val="2"/>
    </font>
    <font>
      <sz val="11"/>
      <color indexed="8"/>
      <name val="Arial"/>
      <family val="2"/>
    </font>
    <font>
      <b/>
      <sz val="13"/>
      <color indexed="56"/>
      <name val="Calibri"/>
      <family val="2"/>
    </font>
    <font>
      <sz val="11"/>
      <color indexed="8"/>
      <name val="Arial1"/>
      <family val="2"/>
    </font>
    <font>
      <b/>
      <i/>
      <sz val="10"/>
      <name val="Arial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9"/>
      <name val="Arial"/>
      <family val="2"/>
    </font>
    <font>
      <sz val="11"/>
      <color indexed="8"/>
      <name val="Calibri1"/>
      <family val="2"/>
    </font>
    <font>
      <sz val="11"/>
      <color indexed="16"/>
      <name val="Calibri1"/>
      <family val="2"/>
    </font>
    <font>
      <sz val="1"/>
      <color indexed="18"/>
      <name val="Courier"/>
      <family val="3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1"/>
      <family val="2"/>
    </font>
    <font>
      <b/>
      <i/>
      <sz val="12"/>
      <color indexed="12"/>
      <name val="Calibri"/>
      <family val="2"/>
    </font>
    <font>
      <b/>
      <i/>
      <sz val="10"/>
      <color rgb="FF000000"/>
      <name val="Arial2"/>
      <family val="2"/>
    </font>
    <font>
      <sz val="11"/>
      <color rgb="FF80008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9900"/>
      <name val="Calibri"/>
      <family val="2"/>
    </font>
    <font>
      <sz val="11"/>
      <color rgb="FF000000"/>
      <name val="Calibri"/>
      <family val="2"/>
    </font>
    <font>
      <b/>
      <sz val="18"/>
      <color rgb="FF003366"/>
      <name val="Cambria"/>
      <family val="1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theme="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2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1"/>
      <family val="2"/>
    </font>
    <font>
      <b/>
      <sz val="15"/>
      <color rgb="FF003366"/>
      <name val="Calibri"/>
      <family val="2"/>
    </font>
    <font>
      <sz val="10"/>
      <color rgb="FF000000"/>
      <name val="Arial"/>
      <family val="2"/>
    </font>
    <font>
      <u val="single"/>
      <sz val="10"/>
      <color rgb="FF0000FF"/>
      <name val="Arial"/>
      <family val="2"/>
    </font>
    <font>
      <sz val="11"/>
      <color theme="1"/>
      <name val="Arial"/>
      <family val="2"/>
    </font>
    <font>
      <sz val="11"/>
      <color rgb="FF000000"/>
      <name val="Arial1"/>
      <family val="2"/>
    </font>
    <font>
      <b/>
      <sz val="11"/>
      <color rgb="FF003366"/>
      <name val="Calibri"/>
      <family val="2"/>
    </font>
    <font>
      <sz val="11"/>
      <color rgb="FFFFFFFF"/>
      <name val="Arial"/>
      <family val="2"/>
    </font>
    <font>
      <b/>
      <sz val="13"/>
      <color rgb="FF003366"/>
      <name val="Calibri"/>
      <family val="2"/>
    </font>
    <font>
      <sz val="11"/>
      <color rgb="FF993300"/>
      <name val="Calibri"/>
      <family val="2"/>
    </font>
    <font>
      <b/>
      <i/>
      <sz val="16"/>
      <color rgb="FF000000"/>
      <name val="Arial1"/>
      <family val="2"/>
    </font>
    <font>
      <sz val="11"/>
      <color rgb="FF0080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000000"/>
      <name val="Calibri1"/>
      <family val="2"/>
    </font>
    <font>
      <sz val="11"/>
      <color rgb="FF800000"/>
      <name val="Calibri1"/>
      <family val="2"/>
    </font>
    <font>
      <sz val="10"/>
      <color rgb="FF000000"/>
      <name val="Times New Roman"/>
      <family val="1"/>
    </font>
    <font>
      <b/>
      <sz val="11"/>
      <color rgb="FF333333"/>
      <name val="Calibri"/>
      <family val="2"/>
    </font>
    <font>
      <sz val="10"/>
      <color rgb="FF000000"/>
      <name val="Arial1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800000"/>
      <name val="Calibri"/>
      <family val="2"/>
    </font>
    <font>
      <b/>
      <i/>
      <sz val="12"/>
      <color rgb="FF000000"/>
      <name val="Calibri"/>
      <family val="2"/>
    </font>
    <font>
      <sz val="12"/>
      <color theme="1" tint="0.04998999834060669"/>
      <name val="Calibri"/>
      <family val="2"/>
    </font>
    <font>
      <b/>
      <sz val="12"/>
      <color theme="1" tint="0.04998999834060669"/>
      <name val="Calibri"/>
      <family val="2"/>
    </font>
    <font>
      <sz val="12"/>
      <color rgb="FFFF0000"/>
      <name val="Calibri"/>
      <family val="2"/>
    </font>
    <font>
      <sz val="8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839997291564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770006537437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theme="0" tint="-0.149709999561309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double"/>
      <bottom style="hair"/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2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67" fillId="0" borderId="1">
      <alignment/>
      <protection/>
    </xf>
    <xf numFmtId="177" fontId="0" fillId="0" borderId="0" applyFont="0" applyFill="0" applyBorder="0" applyAlignment="0" applyProtection="0"/>
    <xf numFmtId="0" fontId="68" fillId="2" borderId="0">
      <alignment/>
      <protection/>
    </xf>
    <xf numFmtId="0" fontId="32" fillId="0" borderId="2">
      <alignment horizontal="left" vertical="top" wrapText="1"/>
      <protection/>
    </xf>
    <xf numFmtId="0" fontId="69" fillId="3" borderId="0">
      <alignment/>
      <protection/>
    </xf>
    <xf numFmtId="0" fontId="70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3" applyNumberFormat="0" applyFill="0" applyAlignment="0" applyProtection="0"/>
    <xf numFmtId="180" fontId="0" fillId="0" borderId="0" applyFont="0" applyFill="0" applyBorder="0" applyAlignment="0" applyProtection="0"/>
    <xf numFmtId="0" fontId="72" fillId="5" borderId="4" applyNumberFormat="0" applyAlignment="0" applyProtection="0"/>
    <xf numFmtId="0" fontId="73" fillId="6" borderId="5">
      <alignment/>
      <protection/>
    </xf>
    <xf numFmtId="178" fontId="0" fillId="0" borderId="0" applyFont="0" applyFill="0" applyBorder="0" applyAlignment="0" applyProtection="0"/>
    <xf numFmtId="0" fontId="70" fillId="7" borderId="0" applyNumberFormat="0" applyBorder="0" applyAlignment="0" applyProtection="0"/>
    <xf numFmtId="183" fontId="41" fillId="0" borderId="0">
      <alignment/>
      <protection/>
    </xf>
    <xf numFmtId="0" fontId="74" fillId="8" borderId="0">
      <alignment/>
      <protection/>
    </xf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9" borderId="6" applyNumberFormat="0" applyFont="0" applyAlignment="0" applyProtection="0"/>
    <xf numFmtId="0" fontId="70" fillId="10" borderId="0" applyNumberFormat="0" applyBorder="0" applyAlignment="0" applyProtection="0"/>
    <xf numFmtId="0" fontId="75" fillId="0" borderId="0">
      <alignment/>
      <protection/>
    </xf>
    <xf numFmtId="0" fontId="69" fillId="11" borderId="0">
      <alignment/>
      <protection/>
    </xf>
    <xf numFmtId="0" fontId="70" fillId="12" borderId="0" applyNumberFormat="0" applyBorder="0" applyAlignment="0" applyProtection="0"/>
    <xf numFmtId="0" fontId="76" fillId="13" borderId="7">
      <alignment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4" fillId="14" borderId="0">
      <alignment/>
      <protection/>
    </xf>
    <xf numFmtId="0" fontId="80" fillId="0" borderId="8" applyNumberFormat="0" applyFill="0" applyAlignment="0" applyProtection="0"/>
    <xf numFmtId="0" fontId="81" fillId="15" borderId="0" applyNumberFormat="0" applyBorder="0" applyAlignment="0" applyProtection="0"/>
    <xf numFmtId="184" fontId="0" fillId="0" borderId="0">
      <alignment horizontal="center" vertical="top"/>
      <protection/>
    </xf>
    <xf numFmtId="0" fontId="74" fillId="14" borderId="0">
      <alignment/>
      <protection/>
    </xf>
    <xf numFmtId="0" fontId="82" fillId="0" borderId="9" applyNumberFormat="0" applyFill="0" applyAlignment="0" applyProtection="0"/>
    <xf numFmtId="0" fontId="81" fillId="16" borderId="0" applyNumberFormat="0" applyBorder="0" applyAlignment="0" applyProtection="0"/>
    <xf numFmtId="0" fontId="74" fillId="14" borderId="0">
      <alignment/>
      <protection/>
    </xf>
    <xf numFmtId="0" fontId="83" fillId="0" borderId="10" applyNumberFormat="0" applyFill="0" applyAlignment="0" applyProtection="0"/>
    <xf numFmtId="0" fontId="81" fillId="17" borderId="0" applyNumberFormat="0" applyBorder="0" applyAlignment="0" applyProtection="0"/>
    <xf numFmtId="0" fontId="83" fillId="0" borderId="0" applyNumberFormat="0" applyFill="0" applyBorder="0" applyAlignment="0" applyProtection="0"/>
    <xf numFmtId="0" fontId="81" fillId="18" borderId="0" applyNumberFormat="0" applyBorder="0" applyAlignment="0" applyProtection="0"/>
    <xf numFmtId="0" fontId="84" fillId="19" borderId="11" applyNumberFormat="0" applyAlignment="0" applyProtection="0"/>
    <xf numFmtId="0" fontId="85" fillId="20" borderId="12" applyNumberFormat="0" applyAlignment="0" applyProtection="0"/>
    <xf numFmtId="0" fontId="86" fillId="0" borderId="0">
      <alignment/>
      <protection/>
    </xf>
    <xf numFmtId="0" fontId="87" fillId="20" borderId="11" applyNumberFormat="0" applyAlignment="0" applyProtection="0"/>
    <xf numFmtId="181" fontId="67" fillId="0" borderId="1">
      <alignment/>
      <protection/>
    </xf>
    <xf numFmtId="0" fontId="88" fillId="0" borderId="13" applyNumberFormat="0" applyFill="0" applyAlignment="0" applyProtection="0"/>
    <xf numFmtId="0" fontId="75" fillId="0" borderId="0">
      <alignment/>
      <protection/>
    </xf>
    <xf numFmtId="0" fontId="69" fillId="11" borderId="0">
      <alignment/>
      <protection/>
    </xf>
    <xf numFmtId="0" fontId="70" fillId="21" borderId="0" applyNumberFormat="0" applyBorder="0" applyAlignment="0" applyProtection="0"/>
    <xf numFmtId="0" fontId="77" fillId="0" borderId="0">
      <alignment/>
      <protection/>
    </xf>
    <xf numFmtId="9" fontId="0" fillId="0" borderId="14" applyNumberFormat="0" applyBorder="0">
      <alignment horizontal="center" vertical="center"/>
      <protection/>
    </xf>
    <xf numFmtId="0" fontId="89" fillId="22" borderId="0" applyNumberFormat="0" applyBorder="0" applyAlignment="0" applyProtection="0"/>
    <xf numFmtId="0" fontId="90" fillId="23" borderId="0" applyNumberFormat="0" applyBorder="0" applyAlignment="0" applyProtection="0"/>
    <xf numFmtId="0" fontId="42" fillId="0" borderId="0">
      <alignment/>
      <protection/>
    </xf>
    <xf numFmtId="0" fontId="91" fillId="24" borderId="0" applyNumberFormat="0" applyBorder="0" applyAlignment="0" applyProtection="0"/>
    <xf numFmtId="0" fontId="42" fillId="0" borderId="0">
      <alignment/>
      <protection/>
    </xf>
    <xf numFmtId="0" fontId="74" fillId="8" borderId="0">
      <alignment/>
      <protection/>
    </xf>
    <xf numFmtId="0" fontId="70" fillId="25" borderId="0" applyNumberFormat="0" applyBorder="0" applyAlignment="0" applyProtection="0"/>
    <xf numFmtId="0" fontId="81" fillId="26" borderId="0" applyNumberFormat="0" applyBorder="0" applyAlignment="0" applyProtection="0"/>
    <xf numFmtId="0" fontId="70" fillId="27" borderId="0" applyNumberFormat="0" applyBorder="0" applyAlignment="0" applyProtection="0"/>
    <xf numFmtId="0" fontId="81" fillId="28" borderId="0" applyNumberFormat="0" applyBorder="0" applyAlignment="0" applyProtection="0"/>
    <xf numFmtId="0" fontId="0" fillId="0" borderId="0">
      <alignment/>
      <protection/>
    </xf>
    <xf numFmtId="0" fontId="74" fillId="8" borderId="0">
      <alignment/>
      <protection/>
    </xf>
    <xf numFmtId="0" fontId="70" fillId="29" borderId="0" applyNumberFormat="0" applyBorder="0" applyAlignment="0" applyProtection="0"/>
    <xf numFmtId="0" fontId="81" fillId="30" borderId="0" applyNumberFormat="0" applyBorder="0" applyAlignment="0" applyProtection="0"/>
    <xf numFmtId="0" fontId="70" fillId="31" borderId="0" applyNumberFormat="0" applyBorder="0" applyAlignment="0" applyProtection="0"/>
    <xf numFmtId="0" fontId="81" fillId="32" borderId="0" applyNumberFormat="0" applyBorder="0" applyAlignment="0" applyProtection="0"/>
    <xf numFmtId="0" fontId="69" fillId="11" borderId="0">
      <alignment/>
      <protection/>
    </xf>
    <xf numFmtId="0" fontId="70" fillId="33" borderId="0" applyNumberFormat="0" applyBorder="0" applyAlignment="0" applyProtection="0"/>
    <xf numFmtId="0" fontId="81" fillId="34" borderId="0" applyNumberFormat="0" applyBorder="0" applyAlignment="0" applyProtection="0"/>
    <xf numFmtId="0" fontId="70" fillId="0" borderId="0">
      <alignment/>
      <protection/>
    </xf>
    <xf numFmtId="0" fontId="74" fillId="8" borderId="0">
      <alignment/>
      <protection/>
    </xf>
    <xf numFmtId="0" fontId="70" fillId="35" borderId="0" applyNumberFormat="0" applyBorder="0" applyAlignment="0" applyProtection="0"/>
    <xf numFmtId="0" fontId="81" fillId="36" borderId="0" applyNumberFormat="0" applyBorder="0" applyAlignment="0" applyProtection="0"/>
    <xf numFmtId="0" fontId="76" fillId="13" borderId="7">
      <alignment/>
      <protection/>
    </xf>
    <xf numFmtId="0" fontId="70" fillId="37" borderId="0" applyNumberFormat="0" applyBorder="0" applyAlignment="0" applyProtection="0"/>
    <xf numFmtId="0" fontId="81" fillId="38" borderId="0" applyNumberFormat="0" applyBorder="0" applyAlignment="0" applyProtection="0"/>
    <xf numFmtId="0" fontId="69" fillId="39" borderId="0">
      <alignment/>
      <protection/>
    </xf>
    <xf numFmtId="0" fontId="81" fillId="40" borderId="0" applyNumberFormat="0" applyBorder="0" applyAlignment="0" applyProtection="0"/>
    <xf numFmtId="9" fontId="0" fillId="0" borderId="0" applyFont="0" applyFill="0" applyBorder="0" applyAlignment="0" applyProtection="0"/>
    <xf numFmtId="0" fontId="74" fillId="41" borderId="0">
      <alignment/>
      <protection/>
    </xf>
    <xf numFmtId="0" fontId="74" fillId="14" borderId="0">
      <alignment/>
      <protection/>
    </xf>
    <xf numFmtId="0" fontId="69" fillId="42" borderId="0">
      <alignment/>
      <protection/>
    </xf>
    <xf numFmtId="182" fontId="0" fillId="0" borderId="0" applyFont="0" applyBorder="0">
      <alignment horizontal="center"/>
      <protection/>
    </xf>
    <xf numFmtId="0" fontId="92" fillId="0" borderId="0">
      <alignment/>
      <protection/>
    </xf>
    <xf numFmtId="182" fontId="0" fillId="0" borderId="0" applyFont="0" applyBorder="0">
      <alignment horizontal="center"/>
      <protection/>
    </xf>
    <xf numFmtId="0" fontId="74" fillId="2" borderId="0">
      <alignment/>
      <protection/>
    </xf>
    <xf numFmtId="0" fontId="70" fillId="0" borderId="0">
      <alignment vertical="center"/>
      <protection/>
    </xf>
    <xf numFmtId="0" fontId="74" fillId="2" borderId="0">
      <alignment/>
      <protection/>
    </xf>
    <xf numFmtId="0" fontId="43" fillId="0" borderId="0" applyNumberFormat="0" applyFill="0" applyBorder="0" applyAlignment="0" applyProtection="0"/>
    <xf numFmtId="0" fontId="74" fillId="2" borderId="0">
      <alignment/>
      <protection/>
    </xf>
    <xf numFmtId="0" fontId="93" fillId="0" borderId="15">
      <alignment/>
      <protection/>
    </xf>
    <xf numFmtId="0" fontId="74" fillId="2" borderId="0">
      <alignment/>
      <protection/>
    </xf>
    <xf numFmtId="9" fontId="0" fillId="0" borderId="0" applyFont="0" applyFill="0" applyBorder="0" applyAlignment="0" applyProtection="0"/>
    <xf numFmtId="0" fontId="74" fillId="41" borderId="0">
      <alignment/>
      <protection/>
    </xf>
    <xf numFmtId="9" fontId="0" fillId="0" borderId="0" applyFont="0" applyFill="0" applyBorder="0" applyAlignment="0" applyProtection="0"/>
    <xf numFmtId="0" fontId="94" fillId="0" borderId="0" applyNumberFormat="0" applyBorder="0" applyProtection="0">
      <alignment/>
    </xf>
    <xf numFmtId="0" fontId="74" fillId="41" borderId="0">
      <alignment/>
      <protection/>
    </xf>
    <xf numFmtId="9" fontId="2" fillId="0" borderId="0" applyFont="0" applyFill="0" applyBorder="0" applyAlignment="0" applyProtection="0"/>
    <xf numFmtId="0" fontId="74" fillId="41" borderId="0">
      <alignment/>
      <protection/>
    </xf>
    <xf numFmtId="0" fontId="74" fillId="43" borderId="0">
      <alignment/>
      <protection/>
    </xf>
    <xf numFmtId="185" fontId="92" fillId="0" borderId="0">
      <alignment/>
      <protection/>
    </xf>
    <xf numFmtId="0" fontId="74" fillId="43" borderId="0">
      <alignment/>
      <protection/>
    </xf>
    <xf numFmtId="0" fontId="74" fillId="43" borderId="0">
      <alignment/>
      <protection/>
    </xf>
    <xf numFmtId="186" fontId="95" fillId="0" borderId="0">
      <alignment/>
      <protection/>
    </xf>
    <xf numFmtId="0" fontId="74" fillId="43" borderId="0">
      <alignment/>
      <protection/>
    </xf>
    <xf numFmtId="0" fontId="96" fillId="0" borderId="0">
      <alignment/>
      <protection/>
    </xf>
    <xf numFmtId="0" fontId="74" fillId="44" borderId="0">
      <alignment/>
      <protection/>
    </xf>
    <xf numFmtId="0" fontId="97" fillId="0" borderId="0">
      <alignment/>
      <protection/>
    </xf>
    <xf numFmtId="0" fontId="74" fillId="44" borderId="0">
      <alignment/>
      <protection/>
    </xf>
    <xf numFmtId="0" fontId="74" fillId="44" borderId="0">
      <alignment/>
      <protection/>
    </xf>
    <xf numFmtId="0" fontId="74" fillId="44" borderId="0">
      <alignment/>
      <protection/>
    </xf>
    <xf numFmtId="0" fontId="74" fillId="45" borderId="0">
      <alignment/>
      <protection/>
    </xf>
    <xf numFmtId="0" fontId="74" fillId="45" borderId="0">
      <alignment/>
      <protection/>
    </xf>
    <xf numFmtId="0" fontId="98" fillId="0" borderId="16">
      <alignment/>
      <protection/>
    </xf>
    <xf numFmtId="179" fontId="0" fillId="0" borderId="0" applyFont="0" applyFill="0" applyBorder="0" applyAlignment="0" applyProtection="0"/>
    <xf numFmtId="0" fontId="74" fillId="45" borderId="0">
      <alignment/>
      <protection/>
    </xf>
    <xf numFmtId="0" fontId="98" fillId="0" borderId="16">
      <alignment/>
      <protection/>
    </xf>
    <xf numFmtId="0" fontId="74" fillId="45" borderId="0">
      <alignment/>
      <protection/>
    </xf>
    <xf numFmtId="0" fontId="74" fillId="46" borderId="0">
      <alignment/>
      <protection/>
    </xf>
    <xf numFmtId="0" fontId="46" fillId="0" borderId="17" applyNumberFormat="0" applyFill="0" applyAlignment="0" applyProtection="0"/>
    <xf numFmtId="0" fontId="74" fillId="46" borderId="0">
      <alignment/>
      <protection/>
    </xf>
    <xf numFmtId="0" fontId="98" fillId="0" borderId="0">
      <alignment/>
      <protection/>
    </xf>
    <xf numFmtId="0" fontId="74" fillId="46" borderId="0">
      <alignment/>
      <protection/>
    </xf>
    <xf numFmtId="0" fontId="98" fillId="0" borderId="0">
      <alignment/>
      <protection/>
    </xf>
    <xf numFmtId="179" fontId="55" fillId="0" borderId="18">
      <alignment/>
      <protection/>
    </xf>
    <xf numFmtId="0" fontId="74" fillId="46" borderId="0">
      <alignment/>
      <protection/>
    </xf>
    <xf numFmtId="0" fontId="74" fillId="47" borderId="0">
      <alignment/>
      <protection/>
    </xf>
    <xf numFmtId="0" fontId="74" fillId="47" borderId="0">
      <alignment/>
      <protection/>
    </xf>
    <xf numFmtId="0" fontId="74" fillId="47" borderId="0">
      <alignment/>
      <protection/>
    </xf>
    <xf numFmtId="0" fontId="74" fillId="47" borderId="0">
      <alignment/>
      <protection/>
    </xf>
    <xf numFmtId="0" fontId="93" fillId="0" borderId="15">
      <alignment/>
      <protection/>
    </xf>
    <xf numFmtId="0" fontId="74" fillId="43" borderId="0">
      <alignment/>
      <protection/>
    </xf>
    <xf numFmtId="0" fontId="93" fillId="0" borderId="15">
      <alignment/>
      <protection/>
    </xf>
    <xf numFmtId="0" fontId="74" fillId="43" borderId="0">
      <alignment/>
      <protection/>
    </xf>
    <xf numFmtId="0" fontId="74" fillId="43" borderId="0">
      <alignment/>
      <protection/>
    </xf>
    <xf numFmtId="0" fontId="99" fillId="0" borderId="0">
      <alignment/>
      <protection/>
    </xf>
    <xf numFmtId="0" fontId="74" fillId="43" borderId="0">
      <alignment/>
      <protection/>
    </xf>
    <xf numFmtId="0" fontId="74" fillId="45" borderId="0">
      <alignment/>
      <protection/>
    </xf>
    <xf numFmtId="0" fontId="74" fillId="45" borderId="0">
      <alignment/>
      <protection/>
    </xf>
    <xf numFmtId="0" fontId="74" fillId="45" borderId="0">
      <alignment/>
      <protection/>
    </xf>
    <xf numFmtId="0" fontId="74" fillId="45" borderId="0">
      <alignment/>
      <protection/>
    </xf>
    <xf numFmtId="0" fontId="74" fillId="48" borderId="0">
      <alignment/>
      <protection/>
    </xf>
    <xf numFmtId="0" fontId="74" fillId="48" borderId="0">
      <alignment/>
      <protection/>
    </xf>
    <xf numFmtId="0" fontId="74" fillId="48" borderId="0">
      <alignment/>
      <protection/>
    </xf>
    <xf numFmtId="0" fontId="74" fillId="48" borderId="0">
      <alignment/>
      <protection/>
    </xf>
    <xf numFmtId="0" fontId="75" fillId="0" borderId="0">
      <alignment/>
      <protection/>
    </xf>
    <xf numFmtId="0" fontId="69" fillId="11" borderId="0">
      <alignment/>
      <protection/>
    </xf>
    <xf numFmtId="0" fontId="100" fillId="0" borderId="19">
      <alignment/>
      <protection/>
    </xf>
    <xf numFmtId="0" fontId="69" fillId="46" borderId="0">
      <alignment/>
      <protection/>
    </xf>
    <xf numFmtId="0" fontId="100" fillId="0" borderId="19">
      <alignment/>
      <protection/>
    </xf>
    <xf numFmtId="0" fontId="69" fillId="46" borderId="0">
      <alignment/>
      <protection/>
    </xf>
    <xf numFmtId="0" fontId="101" fillId="49" borderId="0">
      <alignment/>
      <protection/>
    </xf>
    <xf numFmtId="0" fontId="69" fillId="46" borderId="0">
      <alignment/>
      <protection/>
    </xf>
    <xf numFmtId="0" fontId="101" fillId="49" borderId="0">
      <alignment/>
      <protection/>
    </xf>
    <xf numFmtId="0" fontId="102" fillId="0" borderId="0">
      <alignment horizontal="center" textRotation="90"/>
      <protection/>
    </xf>
    <xf numFmtId="0" fontId="69" fillId="46" borderId="0">
      <alignment/>
      <protection/>
    </xf>
    <xf numFmtId="0" fontId="98" fillId="0" borderId="16">
      <alignment/>
      <protection/>
    </xf>
    <xf numFmtId="0" fontId="69" fillId="47" borderId="0">
      <alignment/>
      <protection/>
    </xf>
    <xf numFmtId="0" fontId="98" fillId="0" borderId="16">
      <alignment/>
      <protection/>
    </xf>
    <xf numFmtId="0" fontId="69" fillId="47" borderId="0">
      <alignment/>
      <protection/>
    </xf>
    <xf numFmtId="0" fontId="69" fillId="47" borderId="0">
      <alignment/>
      <protection/>
    </xf>
    <xf numFmtId="0" fontId="69" fillId="47" borderId="0">
      <alignment/>
      <protection/>
    </xf>
    <xf numFmtId="0" fontId="98" fillId="0" borderId="0">
      <alignment/>
      <protection/>
    </xf>
    <xf numFmtId="0" fontId="69" fillId="50" borderId="0">
      <alignment/>
      <protection/>
    </xf>
    <xf numFmtId="0" fontId="98" fillId="0" borderId="0">
      <alignment/>
      <protection/>
    </xf>
    <xf numFmtId="0" fontId="69" fillId="50" borderId="0">
      <alignment/>
      <protection/>
    </xf>
    <xf numFmtId="0" fontId="69" fillId="50" borderId="0">
      <alignment/>
      <protection/>
    </xf>
    <xf numFmtId="0" fontId="69" fillId="50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42" borderId="0">
      <alignment/>
      <protection/>
    </xf>
    <xf numFmtId="0" fontId="69" fillId="42" borderId="0">
      <alignment/>
      <protection/>
    </xf>
    <xf numFmtId="0" fontId="69" fillId="42" borderId="0">
      <alignment/>
      <protection/>
    </xf>
    <xf numFmtId="0" fontId="103" fillId="41" borderId="0">
      <alignment/>
      <protection/>
    </xf>
    <xf numFmtId="0" fontId="103" fillId="41" borderId="0">
      <alignment/>
      <protection/>
    </xf>
    <xf numFmtId="0" fontId="103" fillId="41" borderId="0">
      <alignment/>
      <protection/>
    </xf>
    <xf numFmtId="0" fontId="103" fillId="41" borderId="0">
      <alignment/>
      <protection/>
    </xf>
    <xf numFmtId="0" fontId="73" fillId="6" borderId="5">
      <alignment/>
      <protection/>
    </xf>
    <xf numFmtId="0" fontId="73" fillId="6" borderId="5">
      <alignment/>
      <protection/>
    </xf>
    <xf numFmtId="0" fontId="73" fillId="6" borderId="5">
      <alignment/>
      <protection/>
    </xf>
    <xf numFmtId="0" fontId="76" fillId="13" borderId="7">
      <alignment/>
      <protection/>
    </xf>
    <xf numFmtId="0" fontId="76" fillId="13" borderId="7">
      <alignment/>
      <protection/>
    </xf>
    <xf numFmtId="0" fontId="104" fillId="0" borderId="20">
      <alignment/>
      <protection/>
    </xf>
    <xf numFmtId="0" fontId="0" fillId="0" borderId="0">
      <alignment/>
      <protection/>
    </xf>
    <xf numFmtId="0" fontId="104" fillId="0" borderId="20">
      <alignment/>
      <protection/>
    </xf>
    <xf numFmtId="0" fontId="74" fillId="0" borderId="0">
      <alignment/>
      <protection/>
    </xf>
    <xf numFmtId="0" fontId="104" fillId="0" borderId="20">
      <alignment/>
      <protection/>
    </xf>
    <xf numFmtId="0" fontId="97" fillId="0" borderId="0">
      <alignment/>
      <protection/>
    </xf>
    <xf numFmtId="0" fontId="104" fillId="0" borderId="20">
      <alignment/>
      <protection/>
    </xf>
    <xf numFmtId="0" fontId="69" fillId="39" borderId="0">
      <alignment/>
      <protection/>
    </xf>
    <xf numFmtId="0" fontId="69" fillId="39" borderId="0">
      <alignment/>
      <protection/>
    </xf>
    <xf numFmtId="0" fontId="69" fillId="39" borderId="0">
      <alignment/>
      <protection/>
    </xf>
    <xf numFmtId="0" fontId="69" fillId="52" borderId="0">
      <alignment/>
      <protection/>
    </xf>
    <xf numFmtId="0" fontId="69" fillId="52" borderId="0">
      <alignment/>
      <protection/>
    </xf>
    <xf numFmtId="0" fontId="69" fillId="52" borderId="0">
      <alignment/>
      <protection/>
    </xf>
    <xf numFmtId="0" fontId="69" fillId="52" borderId="0">
      <alignment/>
      <protection/>
    </xf>
    <xf numFmtId="0" fontId="68" fillId="2" borderId="0">
      <alignment/>
      <protection/>
    </xf>
    <xf numFmtId="0" fontId="69" fillId="3" borderId="0">
      <alignment/>
      <protection/>
    </xf>
    <xf numFmtId="0" fontId="68" fillId="2" borderId="0">
      <alignment/>
      <protection/>
    </xf>
    <xf numFmtId="0" fontId="69" fillId="3" borderId="0">
      <alignment/>
      <protection/>
    </xf>
    <xf numFmtId="0" fontId="69" fillId="3" borderId="0">
      <alignment/>
      <protection/>
    </xf>
    <xf numFmtId="0" fontId="69" fillId="50" borderId="0">
      <alignment/>
      <protection/>
    </xf>
    <xf numFmtId="0" fontId="69" fillId="50" borderId="0">
      <alignment/>
      <protection/>
    </xf>
    <xf numFmtId="0" fontId="69" fillId="50" borderId="0">
      <alignment/>
      <protection/>
    </xf>
    <xf numFmtId="0" fontId="69" fillId="50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51" borderId="0">
      <alignment/>
      <protection/>
    </xf>
    <xf numFmtId="0" fontId="69" fillId="53" borderId="0">
      <alignment/>
      <protection/>
    </xf>
    <xf numFmtId="0" fontId="69" fillId="53" borderId="0">
      <alignment/>
      <protection/>
    </xf>
    <xf numFmtId="0" fontId="69" fillId="53" borderId="0">
      <alignment/>
      <protection/>
    </xf>
    <xf numFmtId="0" fontId="69" fillId="53" borderId="0">
      <alignment/>
      <protection/>
    </xf>
    <xf numFmtId="0" fontId="105" fillId="8" borderId="5">
      <alignment/>
      <protection/>
    </xf>
    <xf numFmtId="0" fontId="105" fillId="8" borderId="5">
      <alignment/>
      <protection/>
    </xf>
    <xf numFmtId="0" fontId="105" fillId="8" borderId="5">
      <alignment/>
      <protection/>
    </xf>
    <xf numFmtId="0" fontId="105" fillId="8" borderId="5">
      <alignment/>
      <protection/>
    </xf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>
      <alignment/>
      <protection/>
    </xf>
    <xf numFmtId="190" fontId="0" fillId="0" borderId="0">
      <alignment/>
      <protection/>
    </xf>
    <xf numFmtId="0" fontId="74" fillId="14" borderId="0">
      <alignment/>
      <protection/>
    </xf>
    <xf numFmtId="186" fontId="106" fillId="0" borderId="0">
      <alignment/>
      <protection/>
    </xf>
    <xf numFmtId="0" fontId="102" fillId="0" borderId="0">
      <alignment horizontal="center"/>
      <protection/>
    </xf>
    <xf numFmtId="0" fontId="68" fillId="2" borderId="0">
      <alignment/>
      <protection/>
    </xf>
    <xf numFmtId="176" fontId="0" fillId="0" borderId="0" applyFont="0" applyFill="0" applyBorder="0" applyAlignment="0" applyProtection="0"/>
    <xf numFmtId="0" fontId="101" fillId="49" borderId="0">
      <alignment/>
      <protection/>
    </xf>
    <xf numFmtId="0" fontId="101" fillId="49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07" fillId="0" borderId="0" applyNumberFormat="0" applyBorder="0" applyProtection="0">
      <alignment/>
    </xf>
    <xf numFmtId="0" fontId="42" fillId="0" borderId="0">
      <alignment/>
      <protection/>
    </xf>
    <xf numFmtId="191" fontId="6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6" fillId="54" borderId="21">
      <alignment/>
      <protection/>
    </xf>
    <xf numFmtId="0" fontId="0" fillId="0" borderId="0">
      <alignment/>
      <protection/>
    </xf>
    <xf numFmtId="0" fontId="86" fillId="54" borderId="21">
      <alignment/>
      <protection/>
    </xf>
    <xf numFmtId="0" fontId="42" fillId="0" borderId="0">
      <alignment/>
      <protection/>
    </xf>
    <xf numFmtId="0" fontId="86" fillId="54" borderId="21">
      <alignment/>
      <protection/>
    </xf>
    <xf numFmtId="0" fontId="42" fillId="0" borderId="0">
      <alignment/>
      <protection/>
    </xf>
    <xf numFmtId="0" fontId="86" fillId="54" borderId="21">
      <alignment/>
      <protection/>
    </xf>
    <xf numFmtId="0" fontId="0" fillId="0" borderId="0">
      <alignment/>
      <protection/>
    </xf>
    <xf numFmtId="0" fontId="108" fillId="0" borderId="0" applyNumberFormat="0" applyBorder="0" applyProtection="0">
      <alignment/>
    </xf>
    <xf numFmtId="0" fontId="94" fillId="0" borderId="0" applyNumberFormat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6" borderId="22">
      <alignment/>
      <protection/>
    </xf>
    <xf numFmtId="0" fontId="109" fillId="6" borderId="22">
      <alignment/>
      <protection/>
    </xf>
    <xf numFmtId="0" fontId="109" fillId="6" borderId="22">
      <alignment/>
      <protection/>
    </xf>
    <xf numFmtId="0" fontId="109" fillId="6" borderId="22">
      <alignment/>
      <protection/>
    </xf>
    <xf numFmtId="192" fontId="64" fillId="0" borderId="0" applyFont="0" applyFill="0" applyBorder="0" applyAlignment="0" applyProtection="0"/>
    <xf numFmtId="181" fontId="67" fillId="0" borderId="1">
      <alignment/>
      <protection/>
    </xf>
    <xf numFmtId="181" fontId="67" fillId="0" borderId="1">
      <alignment/>
      <protection/>
    </xf>
    <xf numFmtId="193" fontId="110" fillId="0" borderId="0">
      <alignment/>
      <protection/>
    </xf>
    <xf numFmtId="193" fontId="11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46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75" fillId="0" borderId="0">
      <alignment/>
      <protection/>
    </xf>
    <xf numFmtId="0" fontId="100" fillId="0" borderId="19">
      <alignment/>
      <protection/>
    </xf>
    <xf numFmtId="0" fontId="100" fillId="0" borderId="19">
      <alignment/>
      <protection/>
    </xf>
    <xf numFmtId="0" fontId="112" fillId="0" borderId="23">
      <alignment/>
      <protection/>
    </xf>
    <xf numFmtId="0" fontId="112" fillId="0" borderId="23">
      <alignment/>
      <protection/>
    </xf>
    <xf numFmtId="0" fontId="112" fillId="0" borderId="23">
      <alignment/>
      <protection/>
    </xf>
    <xf numFmtId="0" fontId="112" fillId="0" borderId="23">
      <alignment/>
      <protection/>
    </xf>
    <xf numFmtId="18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67">
    <xf numFmtId="0" fontId="0" fillId="0" borderId="0" xfId="0" applyAlignment="1">
      <alignment/>
    </xf>
    <xf numFmtId="0" fontId="7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3" fillId="55" borderId="24" xfId="0" applyFont="1" applyFill="1" applyBorder="1" applyAlignment="1">
      <alignment horizontal="center" vertical="center"/>
    </xf>
    <xf numFmtId="0" fontId="113" fillId="55" borderId="25" xfId="0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 vertical="center"/>
    </xf>
    <xf numFmtId="0" fontId="113" fillId="55" borderId="26" xfId="0" applyFont="1" applyFill="1" applyBorder="1" applyAlignment="1">
      <alignment horizontal="center" vertical="center" wrapText="1"/>
    </xf>
    <xf numFmtId="0" fontId="113" fillId="55" borderId="27" xfId="0" applyFont="1" applyFill="1" applyBorder="1" applyAlignment="1">
      <alignment horizontal="center" vertical="center" wrapText="1"/>
    </xf>
    <xf numFmtId="0" fontId="115" fillId="55" borderId="24" xfId="201" applyFont="1" applyFill="1" applyBorder="1" applyAlignment="1">
      <alignment horizontal="center" vertical="center" wrapText="1"/>
      <protection/>
    </xf>
    <xf numFmtId="0" fontId="115" fillId="55" borderId="25" xfId="201" applyFont="1" applyFill="1" applyBorder="1" applyAlignment="1">
      <alignment horizontal="center" vertical="center" wrapText="1"/>
      <protection/>
    </xf>
    <xf numFmtId="0" fontId="113" fillId="55" borderId="28" xfId="0" applyFont="1" applyFill="1" applyBorder="1" applyAlignment="1">
      <alignment horizontal="center" vertical="center"/>
    </xf>
    <xf numFmtId="0" fontId="113" fillId="55" borderId="28" xfId="0" applyFont="1" applyFill="1" applyBorder="1" applyAlignment="1">
      <alignment horizontal="center"/>
    </xf>
    <xf numFmtId="0" fontId="113" fillId="55" borderId="29" xfId="0" applyFont="1" applyFill="1" applyBorder="1" applyAlignment="1">
      <alignment horizontal="center" vertical="center"/>
    </xf>
    <xf numFmtId="0" fontId="114" fillId="0" borderId="28" xfId="0" applyFont="1" applyFill="1" applyBorder="1" applyAlignment="1">
      <alignment horizontal="center" vertical="center"/>
    </xf>
    <xf numFmtId="10" fontId="114" fillId="56" borderId="28" xfId="22" applyNumberFormat="1" applyFont="1" applyFill="1" applyBorder="1" applyAlignment="1">
      <alignment horizontal="center" vertical="center"/>
    </xf>
    <xf numFmtId="4" fontId="114" fillId="56" borderId="28" xfId="0" applyNumberFormat="1" applyFont="1" applyFill="1" applyBorder="1" applyAlignment="1">
      <alignment/>
    </xf>
    <xf numFmtId="4" fontId="114" fillId="56" borderId="24" xfId="0" applyNumberFormat="1" applyFont="1" applyFill="1" applyBorder="1" applyAlignment="1">
      <alignment horizontal="center"/>
    </xf>
    <xf numFmtId="4" fontId="114" fillId="56" borderId="25" xfId="0" applyNumberFormat="1" applyFont="1" applyFill="1" applyBorder="1" applyAlignment="1">
      <alignment horizontal="center"/>
    </xf>
    <xf numFmtId="4" fontId="114" fillId="56" borderId="29" xfId="0" applyNumberFormat="1" applyFont="1" applyFill="1" applyBorder="1" applyAlignment="1">
      <alignment horizontal="center"/>
    </xf>
    <xf numFmtId="0" fontId="114" fillId="57" borderId="24" xfId="0" applyFont="1" applyFill="1" applyBorder="1" applyAlignment="1">
      <alignment horizontal="center"/>
    </xf>
    <xf numFmtId="0" fontId="114" fillId="57" borderId="25" xfId="0" applyFont="1" applyFill="1" applyBorder="1" applyAlignment="1">
      <alignment horizontal="center"/>
    </xf>
    <xf numFmtId="0" fontId="114" fillId="57" borderId="29" xfId="0" applyFont="1" applyFill="1" applyBorder="1" applyAlignment="1">
      <alignment horizontal="center"/>
    </xf>
    <xf numFmtId="10" fontId="114" fillId="56" borderId="24" xfId="0" applyNumberFormat="1" applyFont="1" applyFill="1" applyBorder="1" applyAlignment="1">
      <alignment horizontal="center" vertical="center"/>
    </xf>
    <xf numFmtId="10" fontId="114" fillId="56" borderId="25" xfId="0" applyNumberFormat="1" applyFont="1" applyFill="1" applyBorder="1" applyAlignment="1">
      <alignment horizontal="center" vertical="center"/>
    </xf>
    <xf numFmtId="10" fontId="114" fillId="56" borderId="29" xfId="0" applyNumberFormat="1" applyFont="1" applyFill="1" applyBorder="1" applyAlignment="1">
      <alignment horizontal="center" vertical="center"/>
    </xf>
    <xf numFmtId="0" fontId="114" fillId="0" borderId="30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31" xfId="0" applyFont="1" applyFill="1" applyBorder="1" applyAlignment="1">
      <alignment horizontal="center" vertical="center"/>
    </xf>
    <xf numFmtId="10" fontId="114" fillId="56" borderId="28" xfId="22" applyNumberFormat="1" applyFont="1" applyFill="1" applyBorder="1" applyAlignment="1">
      <alignment vertical="center"/>
    </xf>
    <xf numFmtId="4" fontId="114" fillId="56" borderId="28" xfId="0" applyNumberFormat="1" applyFont="1" applyFill="1" applyBorder="1" applyAlignment="1">
      <alignment horizontal="center"/>
    </xf>
    <xf numFmtId="0" fontId="114" fillId="57" borderId="32" xfId="0" applyFont="1" applyFill="1" applyBorder="1" applyAlignment="1">
      <alignment horizontal="center" vertical="center"/>
    </xf>
    <xf numFmtId="0" fontId="114" fillId="57" borderId="33" xfId="0" applyFont="1" applyFill="1" applyBorder="1" applyAlignment="1">
      <alignment horizontal="center" vertical="center"/>
    </xf>
    <xf numFmtId="0" fontId="114" fillId="57" borderId="34" xfId="0" applyFont="1" applyFill="1" applyBorder="1" applyAlignment="1">
      <alignment horizontal="center" vertical="center"/>
    </xf>
    <xf numFmtId="10" fontId="114" fillId="0" borderId="24" xfId="0" applyNumberFormat="1" applyFont="1" applyFill="1" applyBorder="1" applyAlignment="1">
      <alignment horizontal="center" vertical="center"/>
    </xf>
    <xf numFmtId="10" fontId="114" fillId="0" borderId="25" xfId="0" applyNumberFormat="1" applyFont="1" applyFill="1" applyBorder="1" applyAlignment="1">
      <alignment horizontal="center" vertical="center"/>
    </xf>
    <xf numFmtId="10" fontId="114" fillId="0" borderId="29" xfId="0" applyNumberFormat="1" applyFont="1" applyFill="1" applyBorder="1" applyAlignment="1">
      <alignment horizontal="center" vertical="center"/>
    </xf>
    <xf numFmtId="4" fontId="114" fillId="0" borderId="24" xfId="0" applyNumberFormat="1" applyFont="1" applyFill="1" applyBorder="1" applyAlignment="1">
      <alignment horizontal="center" vertical="center"/>
    </xf>
    <xf numFmtId="4" fontId="114" fillId="0" borderId="25" xfId="0" applyNumberFormat="1" applyFont="1" applyFill="1" applyBorder="1" applyAlignment="1">
      <alignment horizontal="center" vertical="center"/>
    </xf>
    <xf numFmtId="4" fontId="114" fillId="0" borderId="29" xfId="0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10" fontId="114" fillId="0" borderId="28" xfId="0" applyNumberFormat="1" applyFont="1" applyFill="1" applyBorder="1" applyAlignment="1">
      <alignment horizontal="center"/>
    </xf>
    <xf numFmtId="194" fontId="114" fillId="0" borderId="28" xfId="22" applyNumberFormat="1" applyFont="1" applyFill="1" applyBorder="1" applyAlignment="1">
      <alignment horizontal="center" vertical="center"/>
    </xf>
    <xf numFmtId="4" fontId="114" fillId="0" borderId="28" xfId="0" applyNumberFormat="1" applyFont="1" applyFill="1" applyBorder="1" applyAlignment="1">
      <alignment horizontal="center"/>
    </xf>
    <xf numFmtId="0" fontId="114" fillId="0" borderId="28" xfId="0" applyFont="1" applyFill="1" applyBorder="1" applyAlignment="1">
      <alignment horizontal="center"/>
    </xf>
    <xf numFmtId="10" fontId="114" fillId="0" borderId="28" xfId="22" applyNumberFormat="1" applyFont="1" applyFill="1" applyBorder="1" applyAlignment="1">
      <alignment horizontal="center" vertical="center"/>
    </xf>
    <xf numFmtId="10" fontId="114" fillId="58" borderId="28" xfId="0" applyNumberFormat="1" applyFont="1" applyFill="1" applyBorder="1" applyAlignment="1">
      <alignment horizontal="center" vertical="center"/>
    </xf>
    <xf numFmtId="4" fontId="114" fillId="58" borderId="28" xfId="0" applyNumberFormat="1" applyFont="1" applyFill="1" applyBorder="1" applyAlignment="1">
      <alignment horizontal="center"/>
    </xf>
    <xf numFmtId="0" fontId="114" fillId="58" borderId="28" xfId="0" applyFont="1" applyFill="1" applyBorder="1" applyAlignment="1">
      <alignment horizontal="center" vertical="center"/>
    </xf>
    <xf numFmtId="10" fontId="114" fillId="58" borderId="28" xfId="22" applyNumberFormat="1" applyFont="1" applyFill="1" applyBorder="1" applyAlignment="1">
      <alignment horizontal="center" vertical="center"/>
    </xf>
    <xf numFmtId="0" fontId="114" fillId="0" borderId="0" xfId="0" applyFont="1" applyFill="1" applyAlignment="1">
      <alignment vertical="center"/>
    </xf>
    <xf numFmtId="0" fontId="113" fillId="55" borderId="29" xfId="0" applyFont="1" applyFill="1" applyBorder="1" applyAlignment="1">
      <alignment horizontal="center" vertical="center" wrapText="1"/>
    </xf>
    <xf numFmtId="0" fontId="115" fillId="55" borderId="29" xfId="201" applyFont="1" applyFill="1" applyBorder="1" applyAlignment="1">
      <alignment horizontal="center" vertical="center" wrapText="1"/>
      <protection/>
    </xf>
    <xf numFmtId="4" fontId="114" fillId="56" borderId="30" xfId="0" applyNumberFormat="1" applyFont="1" applyFill="1" applyBorder="1" applyAlignment="1">
      <alignment horizontal="center" vertical="center"/>
    </xf>
    <xf numFmtId="4" fontId="114" fillId="56" borderId="2" xfId="0" applyNumberFormat="1" applyFont="1" applyFill="1" applyBorder="1" applyAlignment="1">
      <alignment horizontal="center" vertical="center"/>
    </xf>
    <xf numFmtId="4" fontId="114" fillId="56" borderId="31" xfId="0" applyNumberFormat="1" applyFont="1" applyFill="1" applyBorder="1" applyAlignment="1">
      <alignment horizontal="center" vertical="center"/>
    </xf>
    <xf numFmtId="10" fontId="114" fillId="56" borderId="35" xfId="0" applyNumberFormat="1" applyFont="1" applyFill="1" applyBorder="1" applyAlignment="1">
      <alignment horizontal="center" vertical="center"/>
    </xf>
    <xf numFmtId="10" fontId="114" fillId="56" borderId="36" xfId="0" applyNumberFormat="1" applyFont="1" applyFill="1" applyBorder="1" applyAlignment="1">
      <alignment horizontal="center" vertical="center"/>
    </xf>
    <xf numFmtId="10" fontId="114" fillId="56" borderId="37" xfId="0" applyNumberFormat="1" applyFont="1" applyFill="1" applyBorder="1" applyAlignment="1">
      <alignment horizontal="center" vertical="center"/>
    </xf>
    <xf numFmtId="4" fontId="114" fillId="56" borderId="14" xfId="0" applyNumberFormat="1" applyFont="1" applyFill="1" applyBorder="1" applyAlignment="1">
      <alignment horizontal="center"/>
    </xf>
    <xf numFmtId="4" fontId="114" fillId="56" borderId="0" xfId="0" applyNumberFormat="1" applyFont="1" applyFill="1" applyAlignment="1">
      <alignment horizontal="center"/>
    </xf>
    <xf numFmtId="4" fontId="114" fillId="56" borderId="38" xfId="0" applyNumberFormat="1" applyFont="1" applyFill="1" applyBorder="1" applyAlignment="1">
      <alignment horizontal="center"/>
    </xf>
    <xf numFmtId="10" fontId="114" fillId="0" borderId="35" xfId="0" applyNumberFormat="1" applyFont="1" applyFill="1" applyBorder="1" applyAlignment="1">
      <alignment horizontal="center" vertical="center"/>
    </xf>
    <xf numFmtId="10" fontId="114" fillId="0" borderId="36" xfId="0" applyNumberFormat="1" applyFont="1" applyFill="1" applyBorder="1" applyAlignment="1">
      <alignment horizontal="center" vertical="center"/>
    </xf>
    <xf numFmtId="10" fontId="114" fillId="0" borderId="37" xfId="0" applyNumberFormat="1" applyFont="1" applyFill="1" applyBorder="1" applyAlignment="1">
      <alignment horizontal="center" vertical="center"/>
    </xf>
    <xf numFmtId="4" fontId="114" fillId="0" borderId="30" xfId="0" applyNumberFormat="1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0" fontId="114" fillId="0" borderId="14" xfId="0" applyNumberFormat="1" applyFont="1" applyFill="1" applyBorder="1" applyAlignment="1">
      <alignment horizontal="center" vertical="center"/>
    </xf>
    <xf numFmtId="10" fontId="114" fillId="0" borderId="0" xfId="0" applyNumberFormat="1" applyFont="1" applyFill="1" applyAlignment="1">
      <alignment horizontal="center" vertical="center"/>
    </xf>
    <xf numFmtId="10" fontId="114" fillId="0" borderId="38" xfId="0" applyNumberFormat="1" applyFont="1" applyFill="1" applyBorder="1" applyAlignment="1">
      <alignment horizontal="center" vertical="center"/>
    </xf>
    <xf numFmtId="4" fontId="114" fillId="0" borderId="2" xfId="0" applyNumberFormat="1" applyFont="1" applyFill="1" applyBorder="1" applyAlignment="1">
      <alignment horizontal="center" vertical="center"/>
    </xf>
    <xf numFmtId="10" fontId="70" fillId="0" borderId="0" xfId="0" applyNumberFormat="1" applyFont="1" applyFill="1" applyBorder="1" applyAlignment="1">
      <alignment/>
    </xf>
    <xf numFmtId="4" fontId="114" fillId="0" borderId="14" xfId="0" applyNumberFormat="1" applyFont="1" applyFill="1" applyBorder="1" applyAlignment="1">
      <alignment horizontal="center" vertical="center"/>
    </xf>
    <xf numFmtId="4" fontId="114" fillId="0" borderId="0" xfId="0" applyNumberFormat="1" applyFont="1" applyFill="1" applyAlignment="1">
      <alignment horizontal="center" vertical="center"/>
    </xf>
    <xf numFmtId="4" fontId="114" fillId="0" borderId="38" xfId="0" applyNumberFormat="1" applyFont="1" applyFill="1" applyBorder="1" applyAlignment="1">
      <alignment horizontal="center" vertical="center"/>
    </xf>
    <xf numFmtId="4" fontId="114" fillId="0" borderId="32" xfId="0" applyNumberFormat="1" applyFont="1" applyFill="1" applyBorder="1" applyAlignment="1">
      <alignment horizontal="center" vertical="center"/>
    </xf>
    <xf numFmtId="4" fontId="114" fillId="0" borderId="33" xfId="0" applyNumberFormat="1" applyFont="1" applyFill="1" applyBorder="1" applyAlignment="1">
      <alignment horizontal="center" vertical="center"/>
    </xf>
    <xf numFmtId="4" fontId="114" fillId="0" borderId="34" xfId="0" applyNumberFormat="1" applyFont="1" applyFill="1" applyBorder="1" applyAlignment="1">
      <alignment horizontal="center" vertical="center"/>
    </xf>
    <xf numFmtId="4" fontId="114" fillId="0" borderId="31" xfId="0" applyNumberFormat="1" applyFont="1" applyFill="1" applyBorder="1" applyAlignment="1">
      <alignment horizontal="center" vertical="center"/>
    </xf>
    <xf numFmtId="2" fontId="114" fillId="0" borderId="0" xfId="0" applyNumberFormat="1" applyFont="1" applyFill="1" applyBorder="1" applyAlignment="1">
      <alignment/>
    </xf>
    <xf numFmtId="194" fontId="114" fillId="56" borderId="28" xfId="0" applyNumberFormat="1" applyFont="1" applyFill="1" applyBorder="1" applyAlignment="1">
      <alignment horizontal="center" vertical="center"/>
    </xf>
    <xf numFmtId="4" fontId="114" fillId="0" borderId="28" xfId="0" applyNumberFormat="1" applyFont="1" applyFill="1" applyBorder="1" applyAlignment="1">
      <alignment horizontal="center" vertical="center"/>
    </xf>
    <xf numFmtId="194" fontId="114" fillId="0" borderId="24" xfId="0" applyNumberFormat="1" applyFont="1" applyFill="1" applyBorder="1" applyAlignment="1">
      <alignment horizontal="center" vertical="center"/>
    </xf>
    <xf numFmtId="194" fontId="114" fillId="0" borderId="25" xfId="0" applyNumberFormat="1" applyFont="1" applyFill="1" applyBorder="1" applyAlignment="1">
      <alignment horizontal="center" vertical="center"/>
    </xf>
    <xf numFmtId="194" fontId="114" fillId="0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59" borderId="39" xfId="85" applyFont="1" applyFill="1" applyBorder="1" applyAlignment="1">
      <alignment horizontal="center" vertical="center" wrapText="1"/>
      <protection/>
    </xf>
    <xf numFmtId="0" fontId="116" fillId="59" borderId="40" xfId="85" applyFont="1" applyFill="1" applyBorder="1" applyAlignment="1">
      <alignment horizontal="center" vertical="center" wrapText="1"/>
      <protection/>
    </xf>
    <xf numFmtId="0" fontId="117" fillId="0" borderId="0" xfId="264" applyFont="1" applyFill="1" applyAlignment="1" applyProtection="1">
      <alignment horizontal="center" wrapText="1"/>
      <protection/>
    </xf>
    <xf numFmtId="0" fontId="7" fillId="59" borderId="26" xfId="85" applyFont="1" applyFill="1" applyBorder="1" applyAlignment="1">
      <alignment horizontal="center" vertical="center" wrapText="1"/>
      <protection/>
    </xf>
    <xf numFmtId="0" fontId="7" fillId="59" borderId="27" xfId="85" applyFont="1" applyFill="1" applyBorder="1" applyAlignment="1">
      <alignment horizontal="center" vertical="center" wrapText="1"/>
      <protection/>
    </xf>
    <xf numFmtId="0" fontId="116" fillId="59" borderId="39" xfId="85" applyFont="1" applyFill="1" applyBorder="1" applyAlignment="1">
      <alignment horizontal="center" vertical="center" wrapText="1"/>
      <protection/>
    </xf>
    <xf numFmtId="0" fontId="118" fillId="39" borderId="41" xfId="111" applyFont="1" applyFill="1" applyBorder="1" applyAlignment="1" applyProtection="1">
      <alignment horizontal="center" vertical="center" wrapText="1"/>
      <protection/>
    </xf>
    <xf numFmtId="0" fontId="116" fillId="0" borderId="42" xfId="111" applyFont="1" applyFill="1" applyBorder="1" applyAlignment="1" applyProtection="1">
      <alignment horizontal="center" vertical="center" wrapText="1"/>
      <protection/>
    </xf>
    <xf numFmtId="0" fontId="116" fillId="0" borderId="42" xfId="111" applyFont="1" applyFill="1" applyBorder="1" applyAlignment="1" applyProtection="1">
      <alignment horizontal="center" wrapText="1"/>
      <protection/>
    </xf>
    <xf numFmtId="0" fontId="117" fillId="0" borderId="43" xfId="111" applyFont="1" applyFill="1" applyBorder="1" applyAlignment="1" applyProtection="1">
      <alignment horizontal="center" wrapText="1"/>
      <protection/>
    </xf>
    <xf numFmtId="10" fontId="117" fillId="0" borderId="42" xfId="111" applyNumberFormat="1" applyFont="1" applyBorder="1" applyAlignment="1" applyProtection="1">
      <alignment horizontal="center" wrapText="1"/>
      <protection/>
    </xf>
    <xf numFmtId="10" fontId="116" fillId="0" borderId="42" xfId="111" applyNumberFormat="1" applyFont="1" applyBorder="1" applyAlignment="1" applyProtection="1">
      <alignment horizontal="center" wrapText="1"/>
      <protection/>
    </xf>
    <xf numFmtId="0" fontId="117" fillId="0" borderId="44" xfId="111" applyFont="1" applyFill="1" applyBorder="1" applyAlignment="1" applyProtection="1">
      <alignment horizontal="center" wrapText="1"/>
      <protection/>
    </xf>
    <xf numFmtId="0" fontId="116" fillId="0" borderId="41" xfId="111" applyFont="1" applyFill="1" applyBorder="1" applyAlignment="1" applyProtection="1">
      <alignment horizontal="center" wrapText="1"/>
      <protection/>
    </xf>
    <xf numFmtId="0" fontId="116" fillId="0" borderId="43" xfId="111" applyFont="1" applyFill="1" applyBorder="1" applyAlignment="1" applyProtection="1">
      <alignment horizontal="center" wrapText="1"/>
      <protection/>
    </xf>
    <xf numFmtId="195" fontId="117" fillId="0" borderId="42" xfId="111" applyNumberFormat="1" applyFont="1" applyFill="1" applyBorder="1" applyAlignment="1" applyProtection="1">
      <alignment horizontal="center" wrapText="1"/>
      <protection/>
    </xf>
    <xf numFmtId="195" fontId="116" fillId="0" borderId="42" xfId="111" applyNumberFormat="1" applyFont="1" applyFill="1" applyBorder="1" applyAlignment="1" applyProtection="1">
      <alignment horizontal="center" wrapText="1"/>
      <protection/>
    </xf>
    <xf numFmtId="195" fontId="119" fillId="0" borderId="42" xfId="111" applyNumberFormat="1" applyFont="1" applyFill="1" applyBorder="1" applyAlignment="1" applyProtection="1">
      <alignment horizontal="center" wrapText="1"/>
      <protection/>
    </xf>
    <xf numFmtId="195" fontId="120" fillId="0" borderId="42" xfId="111" applyNumberFormat="1" applyFont="1" applyFill="1" applyBorder="1" applyAlignment="1" applyProtection="1">
      <alignment horizontal="center" wrapText="1"/>
      <protection/>
    </xf>
    <xf numFmtId="0" fontId="116" fillId="0" borderId="42" xfId="111" applyFont="1" applyFill="1" applyBorder="1" applyAlignment="1" applyProtection="1">
      <alignment horizontal="right" wrapText="1"/>
      <protection/>
    </xf>
    <xf numFmtId="0" fontId="117" fillId="0" borderId="0" xfId="111" applyFont="1" applyFill="1" applyAlignment="1" applyProtection="1">
      <alignment horizontal="center" wrapText="1"/>
      <protection/>
    </xf>
    <xf numFmtId="0" fontId="117" fillId="0" borderId="0" xfId="111" applyFont="1" applyFill="1" applyAlignment="1" applyProtection="1">
      <alignment wrapText="1"/>
      <protection/>
    </xf>
    <xf numFmtId="0" fontId="117" fillId="0" borderId="42" xfId="111" applyFont="1" applyFill="1" applyBorder="1" applyAlignment="1" applyProtection="1">
      <alignment horizontal="right" vertical="top" wrapText="1"/>
      <protection/>
    </xf>
    <xf numFmtId="0" fontId="117" fillId="0" borderId="42" xfId="111" applyFont="1" applyFill="1" applyBorder="1" applyAlignment="1" applyProtection="1">
      <alignment wrapText="1"/>
      <protection/>
    </xf>
    <xf numFmtId="0" fontId="119" fillId="0" borderId="0" xfId="85" applyFont="1" applyAlignment="1">
      <alignment wrapText="1"/>
      <protection/>
    </xf>
    <xf numFmtId="0" fontId="117" fillId="0" borderId="42" xfId="111" applyFont="1" applyFill="1" applyBorder="1" applyAlignment="1" applyProtection="1">
      <alignment horizontal="right" wrapText="1"/>
      <protection/>
    </xf>
    <xf numFmtId="0" fontId="117" fillId="0" borderId="39" xfId="111" applyFont="1" applyFill="1" applyBorder="1" applyAlignment="1" applyProtection="1">
      <alignment horizontal="center" vertical="center" wrapText="1"/>
      <protection/>
    </xf>
    <xf numFmtId="0" fontId="117" fillId="0" borderId="40" xfId="111" applyFont="1" applyFill="1" applyBorder="1" applyAlignment="1" applyProtection="1">
      <alignment horizontal="center" wrapText="1"/>
      <protection/>
    </xf>
    <xf numFmtId="49" fontId="117" fillId="0" borderId="45" xfId="111" applyNumberFormat="1" applyFont="1" applyFill="1" applyBorder="1" applyAlignment="1" applyProtection="1">
      <alignment horizontal="center" vertical="center" wrapText="1"/>
      <protection/>
    </xf>
    <xf numFmtId="0" fontId="117" fillId="0" borderId="46" xfId="111" applyFont="1" applyFill="1" applyBorder="1" applyAlignment="1" applyProtection="1">
      <alignment horizontal="center" wrapText="1"/>
      <protection/>
    </xf>
    <xf numFmtId="196" fontId="117" fillId="0" borderId="40" xfId="111" applyNumberFormat="1" applyFont="1" applyFill="1" applyBorder="1" applyAlignment="1" applyProtection="1">
      <alignment horizontal="center" wrapText="1"/>
      <protection/>
    </xf>
    <xf numFmtId="197" fontId="117" fillId="0" borderId="40" xfId="111" applyNumberFormat="1" applyFont="1" applyFill="1" applyBorder="1" applyAlignment="1" applyProtection="1">
      <alignment horizontal="center" wrapText="1"/>
      <protection/>
    </xf>
    <xf numFmtId="198" fontId="117" fillId="0" borderId="46" xfId="111" applyNumberFormat="1" applyFont="1" applyFill="1" applyBorder="1" applyAlignment="1" applyProtection="1">
      <alignment horizontal="center" wrapText="1"/>
      <protection/>
    </xf>
    <xf numFmtId="199" fontId="117" fillId="0" borderId="40" xfId="111" applyNumberFormat="1" applyFont="1" applyFill="1" applyBorder="1" applyAlignment="1" applyProtection="1">
      <alignment horizontal="center" wrapText="1"/>
      <protection/>
    </xf>
    <xf numFmtId="200" fontId="117" fillId="0" borderId="40" xfId="111" applyNumberFormat="1" applyFont="1" applyFill="1" applyBorder="1" applyAlignment="1" applyProtection="1">
      <alignment horizontal="center" wrapText="1"/>
      <protection/>
    </xf>
    <xf numFmtId="200" fontId="117" fillId="0" borderId="46" xfId="111" applyNumberFormat="1" applyFont="1" applyFill="1" applyBorder="1" applyAlignment="1" applyProtection="1">
      <alignment horizontal="center" wrapText="1"/>
      <protection/>
    </xf>
    <xf numFmtId="49" fontId="117" fillId="0" borderId="45" xfId="111" applyNumberFormat="1" applyFont="1" applyFill="1" applyBorder="1" applyAlignment="1" applyProtection="1">
      <alignment horizontal="left" vertical="center" wrapText="1"/>
      <protection/>
    </xf>
    <xf numFmtId="201" fontId="117" fillId="0" borderId="40" xfId="111" applyNumberFormat="1" applyFont="1" applyFill="1" applyBorder="1" applyAlignment="1" applyProtection="1">
      <alignment horizontal="center" vertical="center" wrapText="1"/>
      <protection/>
    </xf>
    <xf numFmtId="0" fontId="118" fillId="39" borderId="39" xfId="111" applyFont="1" applyFill="1" applyBorder="1" applyAlignment="1" applyProtection="1">
      <alignment horizontal="right" vertical="center" wrapText="1"/>
      <protection/>
    </xf>
    <xf numFmtId="10" fontId="118" fillId="39" borderId="45" xfId="111" applyNumberFormat="1" applyFont="1" applyFill="1" applyBorder="1" applyAlignment="1" applyProtection="1">
      <alignment horizontal="left" vertical="center" wrapText="1"/>
      <protection/>
    </xf>
    <xf numFmtId="0" fontId="117" fillId="0" borderId="0" xfId="264" applyFont="1" applyFill="1" applyAlignment="1" applyProtection="1">
      <alignment horizontal="left" wrapText="1"/>
      <protection/>
    </xf>
    <xf numFmtId="0" fontId="117" fillId="0" borderId="0" xfId="263" applyFont="1" applyFill="1" applyAlignment="1" applyProtection="1">
      <alignment vertical="center" wrapText="1"/>
      <protection/>
    </xf>
    <xf numFmtId="0" fontId="116" fillId="59" borderId="45" xfId="85" applyFont="1" applyFill="1" applyBorder="1" applyAlignment="1">
      <alignment horizontal="center" vertical="center" wrapText="1"/>
      <protection/>
    </xf>
    <xf numFmtId="0" fontId="7" fillId="59" borderId="29" xfId="85" applyFont="1" applyFill="1" applyBorder="1" applyAlignment="1">
      <alignment horizontal="center" vertical="center" wrapText="1"/>
      <protection/>
    </xf>
    <xf numFmtId="10" fontId="117" fillId="0" borderId="42" xfId="111" applyNumberFormat="1" applyFont="1" applyFill="1" applyBorder="1" applyAlignment="1" applyProtection="1">
      <alignment horizontal="center" wrapText="1"/>
      <protection/>
    </xf>
    <xf numFmtId="202" fontId="117" fillId="0" borderId="41" xfId="111" applyNumberFormat="1" applyFont="1" applyFill="1" applyBorder="1" applyAlignment="1" applyProtection="1">
      <alignment horizontal="center" wrapText="1"/>
      <protection/>
    </xf>
    <xf numFmtId="195" fontId="116" fillId="0" borderId="41" xfId="111" applyNumberFormat="1" applyFont="1" applyFill="1" applyBorder="1" applyAlignment="1" applyProtection="1">
      <alignment horizontal="center" wrapText="1"/>
      <protection/>
    </xf>
    <xf numFmtId="10" fontId="116" fillId="0" borderId="42" xfId="111" applyNumberFormat="1" applyFont="1" applyFill="1" applyBorder="1" applyAlignment="1" applyProtection="1">
      <alignment wrapText="1"/>
      <protection/>
    </xf>
    <xf numFmtId="0" fontId="121" fillId="0" borderId="0" xfId="250" applyFont="1" applyFill="1" applyAlignment="1" applyProtection="1">
      <alignment vertical="center" wrapText="1"/>
      <protection/>
    </xf>
    <xf numFmtId="0" fontId="122" fillId="0" borderId="0" xfId="111" applyFont="1" applyFill="1" applyAlignment="1" applyProtection="1">
      <alignment horizontal="justify" wrapText="1"/>
      <protection/>
    </xf>
    <xf numFmtId="0" fontId="122" fillId="0" borderId="0" xfId="111" applyFont="1" applyFill="1" applyAlignment="1" applyProtection="1">
      <alignment horizontal="justify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59" borderId="39" xfId="85" applyFont="1" applyFill="1" applyBorder="1" applyAlignment="1">
      <alignment horizontal="center" vertical="center" wrapText="1"/>
      <protection/>
    </xf>
    <xf numFmtId="0" fontId="116" fillId="59" borderId="47" xfId="85" applyFont="1" applyFill="1" applyBorder="1" applyAlignment="1">
      <alignment horizontal="center" vertical="center" wrapText="1"/>
      <protection/>
    </xf>
    <xf numFmtId="0" fontId="116" fillId="59" borderId="48" xfId="85" applyFont="1" applyFill="1" applyBorder="1" applyAlignment="1">
      <alignment horizontal="center" vertical="center" wrapText="1"/>
      <protection/>
    </xf>
    <xf numFmtId="0" fontId="118" fillId="39" borderId="49" xfId="111" applyFont="1" applyFill="1" applyBorder="1" applyAlignment="1" applyProtection="1">
      <alignment horizontal="center" vertical="center" wrapText="1"/>
      <protection/>
    </xf>
    <xf numFmtId="0" fontId="118" fillId="39" borderId="46" xfId="111" applyFont="1" applyFill="1" applyBorder="1" applyAlignment="1" applyProtection="1">
      <alignment horizontal="center" vertical="center" wrapText="1"/>
      <protection/>
    </xf>
    <xf numFmtId="10" fontId="116" fillId="0" borderId="42" xfId="111" applyNumberFormat="1" applyFont="1" applyFill="1" applyBorder="1" applyAlignment="1" applyProtection="1">
      <alignment horizontal="center" wrapText="1"/>
      <protection/>
    </xf>
    <xf numFmtId="0" fontId="117" fillId="0" borderId="50" xfId="111" applyFont="1" applyFill="1" applyBorder="1" applyAlignment="1" applyProtection="1">
      <alignment horizontal="center" wrapText="1"/>
      <protection/>
    </xf>
    <xf numFmtId="0" fontId="116" fillId="59" borderId="51" xfId="85" applyFont="1" applyFill="1" applyBorder="1" applyAlignment="1">
      <alignment horizontal="center" vertical="center" wrapText="1"/>
      <protection/>
    </xf>
    <xf numFmtId="0" fontId="118" fillId="39" borderId="52" xfId="111" applyFont="1" applyFill="1" applyBorder="1" applyAlignment="1" applyProtection="1">
      <alignment horizontal="center" vertical="center" wrapText="1"/>
      <protection/>
    </xf>
    <xf numFmtId="0" fontId="123" fillId="0" borderId="44" xfId="111" applyFont="1" applyFill="1" applyBorder="1" applyAlignment="1" applyProtection="1">
      <alignment horizontal="center" wrapText="1"/>
      <protection/>
    </xf>
    <xf numFmtId="195" fontId="123" fillId="0" borderId="42" xfId="111" applyNumberFormat="1" applyFont="1" applyFill="1" applyBorder="1" applyAlignment="1" applyProtection="1">
      <alignment horizontal="center" wrapText="1"/>
      <protection/>
    </xf>
    <xf numFmtId="195" fontId="124" fillId="0" borderId="42" xfId="111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horizontal="center" wrapText="1"/>
    </xf>
    <xf numFmtId="0" fontId="7" fillId="60" borderId="28" xfId="0" applyFont="1" applyFill="1" applyBorder="1" applyAlignment="1">
      <alignment horizontal="center" vertical="center" wrapText="1"/>
    </xf>
    <xf numFmtId="0" fontId="120" fillId="60" borderId="28" xfId="0" applyFont="1" applyFill="1" applyBorder="1" applyAlignment="1">
      <alignment horizontal="center" vertical="center" wrapText="1"/>
    </xf>
    <xf numFmtId="0" fontId="119" fillId="0" borderId="28" xfId="0" applyFont="1" applyFill="1" applyBorder="1" applyAlignment="1">
      <alignment horizontal="center" vertical="center" wrapText="1"/>
    </xf>
    <xf numFmtId="0" fontId="120" fillId="60" borderId="26" xfId="0" applyFont="1" applyFill="1" applyBorder="1" applyAlignment="1">
      <alignment horizontal="center" vertical="center" wrapText="1"/>
    </xf>
    <xf numFmtId="0" fontId="120" fillId="60" borderId="27" xfId="0" applyFont="1" applyFill="1" applyBorder="1" applyAlignment="1">
      <alignment horizontal="center" vertical="center" wrapText="1"/>
    </xf>
    <xf numFmtId="0" fontId="120" fillId="60" borderId="29" xfId="0" applyFont="1" applyFill="1" applyBorder="1" applyAlignment="1">
      <alignment horizontal="center" vertical="center" wrapText="1"/>
    </xf>
    <xf numFmtId="0" fontId="120" fillId="61" borderId="35" xfId="0" applyFont="1" applyFill="1" applyBorder="1" applyAlignment="1">
      <alignment horizontal="left" wrapText="1"/>
    </xf>
    <xf numFmtId="0" fontId="120" fillId="61" borderId="36" xfId="0" applyFont="1" applyFill="1" applyBorder="1" applyAlignment="1">
      <alignment horizontal="center" wrapText="1"/>
    </xf>
    <xf numFmtId="0" fontId="120" fillId="61" borderId="37" xfId="0" applyFont="1" applyFill="1" applyBorder="1" applyAlignment="1">
      <alignment horizontal="center" wrapText="1"/>
    </xf>
    <xf numFmtId="0" fontId="120" fillId="62" borderId="53" xfId="0" applyFont="1" applyFill="1" applyBorder="1" applyAlignment="1">
      <alignment horizontal="center" vertical="center" wrapText="1"/>
    </xf>
    <xf numFmtId="0" fontId="120" fillId="62" borderId="54" xfId="0" applyFont="1" applyFill="1" applyBorder="1" applyAlignment="1">
      <alignment horizontal="center" vertical="center" wrapText="1"/>
    </xf>
    <xf numFmtId="0" fontId="120" fillId="62" borderId="55" xfId="0" applyFont="1" applyFill="1" applyBorder="1" applyAlignment="1">
      <alignment horizontal="center" wrapText="1"/>
    </xf>
    <xf numFmtId="49" fontId="119" fillId="63" borderId="5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0" fillId="0" borderId="28" xfId="0" applyFont="1" applyFill="1" applyBorder="1" applyAlignment="1">
      <alignment horizontal="center" vertical="center" wrapText="1"/>
    </xf>
    <xf numFmtId="0" fontId="6" fillId="63" borderId="57" xfId="0" applyFont="1" applyFill="1" applyBorder="1" applyAlignment="1">
      <alignment horizontal="center" vertical="center" wrapText="1"/>
    </xf>
    <xf numFmtId="2" fontId="6" fillId="58" borderId="28" xfId="0" applyNumberFormat="1" applyFont="1" applyFill="1" applyBorder="1" applyAlignment="1">
      <alignment horizontal="center" vertical="center" wrapText="1"/>
    </xf>
    <xf numFmtId="2" fontId="119" fillId="63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15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 wrapText="1"/>
    </xf>
    <xf numFmtId="203" fontId="6" fillId="58" borderId="28" xfId="0" applyNumberFormat="1" applyFont="1" applyFill="1" applyBorder="1" applyAlignment="1">
      <alignment horizontal="center" vertical="center" wrapText="1"/>
    </xf>
    <xf numFmtId="203" fontId="6" fillId="0" borderId="28" xfId="0" applyNumberFormat="1" applyFont="1" applyFill="1" applyBorder="1" applyAlignment="1">
      <alignment horizontal="center" vertical="center" wrapText="1"/>
    </xf>
    <xf numFmtId="0" fontId="6" fillId="58" borderId="28" xfId="0" applyFont="1" applyFill="1" applyBorder="1" applyAlignment="1">
      <alignment horizontal="center" vertical="center" wrapText="1"/>
    </xf>
    <xf numFmtId="0" fontId="120" fillId="61" borderId="28" xfId="0" applyFont="1" applyFill="1" applyBorder="1" applyAlignment="1">
      <alignment horizontal="left" wrapText="1"/>
    </xf>
    <xf numFmtId="0" fontId="120" fillId="61" borderId="28" xfId="0" applyFont="1" applyFill="1" applyBorder="1" applyAlignment="1">
      <alignment horizontal="center" wrapText="1"/>
    </xf>
    <xf numFmtId="0" fontId="6" fillId="0" borderId="28" xfId="33" applyFont="1" applyFill="1" applyBorder="1" applyAlignment="1" applyProtection="1">
      <alignment horizontal="center" vertical="center" wrapText="1"/>
      <protection/>
    </xf>
    <xf numFmtId="0" fontId="6" fillId="58" borderId="28" xfId="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64" borderId="28" xfId="0" applyNumberFormat="1" applyFont="1" applyFill="1" applyBorder="1" applyAlignment="1">
      <alignment horizontal="center" vertical="center" wrapText="1"/>
    </xf>
    <xf numFmtId="0" fontId="7" fillId="64" borderId="28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9" xfId="0" applyFont="1" applyFill="1" applyBorder="1" applyAlignment="1">
      <alignment horizontal="justify" vertical="center" wrapText="1"/>
    </xf>
    <xf numFmtId="0" fontId="7" fillId="64" borderId="35" xfId="0" applyNumberFormat="1" applyFont="1" applyFill="1" applyBorder="1" applyAlignment="1">
      <alignment horizontal="center" vertical="center" wrapText="1"/>
    </xf>
    <xf numFmtId="0" fontId="7" fillId="64" borderId="36" xfId="0" applyNumberFormat="1" applyFont="1" applyFill="1" applyBorder="1" applyAlignment="1">
      <alignment horizontal="center" vertical="center" wrapText="1"/>
    </xf>
    <xf numFmtId="0" fontId="7" fillId="64" borderId="37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9" xfId="0" applyFont="1" applyFill="1" applyBorder="1" applyAlignment="1">
      <alignment horizontal="justify" vertical="center" wrapText="1"/>
    </xf>
    <xf numFmtId="0" fontId="120" fillId="64" borderId="28" xfId="0" applyNumberFormat="1" applyFont="1" applyFill="1" applyBorder="1" applyAlignment="1">
      <alignment horizontal="center" vertical="center" wrapText="1"/>
    </xf>
    <xf numFmtId="0" fontId="120" fillId="64" borderId="28" xfId="0" applyFont="1" applyFill="1" applyBorder="1" applyAlignment="1">
      <alignment horizontal="center" vertical="center" wrapText="1"/>
    </xf>
    <xf numFmtId="0" fontId="7" fillId="64" borderId="43" xfId="0" applyNumberFormat="1" applyFont="1" applyFill="1" applyBorder="1" applyAlignment="1">
      <alignment horizontal="center" vertical="center" wrapText="1"/>
    </xf>
    <xf numFmtId="0" fontId="7" fillId="64" borderId="58" xfId="0" applyFont="1" applyFill="1" applyBorder="1" applyAlignment="1">
      <alignment horizontal="left" vertical="center" wrapText="1"/>
    </xf>
    <xf numFmtId="0" fontId="7" fillId="64" borderId="59" xfId="0" applyFont="1" applyFill="1" applyBorder="1" applyAlignment="1">
      <alignment horizontal="center" vertical="center" wrapText="1"/>
    </xf>
    <xf numFmtId="4" fontId="7" fillId="64" borderId="28" xfId="0" applyNumberFormat="1" applyFont="1" applyFill="1" applyBorder="1" applyAlignment="1">
      <alignment horizontal="center" vertical="center" wrapText="1"/>
    </xf>
    <xf numFmtId="49" fontId="6" fillId="58" borderId="28" xfId="0" applyNumberFormat="1" applyFont="1" applyFill="1" applyBorder="1" applyAlignment="1">
      <alignment horizontal="center" vertical="center" wrapText="1"/>
    </xf>
    <xf numFmtId="4" fontId="117" fillId="65" borderId="42" xfId="0" applyNumberFormat="1" applyFont="1" applyFill="1" applyBorder="1" applyAlignment="1">
      <alignment horizontal="left" vertical="top" wrapText="1"/>
    </xf>
    <xf numFmtId="49" fontId="117" fillId="58" borderId="42" xfId="0" applyNumberFormat="1" applyFont="1" applyFill="1" applyBorder="1" applyAlignment="1">
      <alignment horizontal="center" vertical="center" wrapText="1"/>
    </xf>
    <xf numFmtId="204" fontId="117" fillId="58" borderId="41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9" fontId="6" fillId="58" borderId="30" xfId="0" applyNumberFormat="1" applyFont="1" applyFill="1" applyBorder="1" applyAlignment="1">
      <alignment horizontal="center" vertical="center" wrapText="1"/>
    </xf>
    <xf numFmtId="0" fontId="6" fillId="58" borderId="24" xfId="0" applyFont="1" applyFill="1" applyBorder="1" applyAlignment="1">
      <alignment horizontal="center" vertical="center" wrapText="1"/>
    </xf>
    <xf numFmtId="205" fontId="6" fillId="58" borderId="36" xfId="0" applyNumberFormat="1" applyFont="1" applyFill="1" applyBorder="1" applyAlignment="1">
      <alignment horizontal="center" vertical="center" wrapText="1"/>
    </xf>
    <xf numFmtId="204" fontId="6" fillId="58" borderId="4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17" fillId="0" borderId="42" xfId="0" applyNumberFormat="1" applyFont="1" applyFill="1" applyBorder="1" applyAlignment="1">
      <alignment horizontal="left" vertical="top" wrapText="1"/>
    </xf>
    <xf numFmtId="49" fontId="117" fillId="0" borderId="42" xfId="0" applyNumberFormat="1" applyFont="1" applyFill="1" applyBorder="1" applyAlignment="1">
      <alignment horizontal="center" vertical="center" wrapText="1"/>
    </xf>
    <xf numFmtId="204" fontId="117" fillId="0" borderId="41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left" vertical="top" wrapText="1"/>
    </xf>
    <xf numFmtId="49" fontId="6" fillId="0" borderId="42" xfId="0" applyNumberFormat="1" applyFont="1" applyFill="1" applyBorder="1" applyAlignment="1">
      <alignment horizontal="center" vertical="center" wrapText="1"/>
    </xf>
    <xf numFmtId="204" fontId="6" fillId="0" borderId="41" xfId="0" applyNumberFormat="1" applyFont="1" applyFill="1" applyBorder="1" applyAlignment="1">
      <alignment horizontal="center" vertical="center" wrapText="1"/>
    </xf>
    <xf numFmtId="0" fontId="6" fillId="58" borderId="28" xfId="0" applyFont="1" applyFill="1" applyBorder="1" applyAlignment="1">
      <alignment horizontal="left" vertical="center" wrapText="1"/>
    </xf>
    <xf numFmtId="201" fontId="6" fillId="58" borderId="28" xfId="0" applyNumberFormat="1" applyFont="1" applyFill="1" applyBorder="1" applyAlignment="1">
      <alignment horizontal="center" vertical="center" wrapText="1"/>
    </xf>
    <xf numFmtId="0" fontId="6" fillId="58" borderId="28" xfId="0" applyNumberFormat="1" applyFont="1" applyFill="1" applyBorder="1" applyAlignment="1">
      <alignment horizontal="center" vertical="center" wrapText="1"/>
    </xf>
    <xf numFmtId="206" fontId="6" fillId="58" borderId="28" xfId="0" applyNumberFormat="1" applyFont="1" applyFill="1" applyBorder="1" applyAlignment="1">
      <alignment horizontal="center" vertical="center" wrapText="1"/>
    </xf>
    <xf numFmtId="4" fontId="6" fillId="58" borderId="28" xfId="0" applyNumberFormat="1" applyFont="1" applyFill="1" applyBorder="1" applyAlignment="1">
      <alignment horizontal="center" vertical="center" wrapText="1"/>
    </xf>
    <xf numFmtId="1" fontId="6" fillId="58" borderId="2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58" borderId="28" xfId="0" applyFont="1" applyFill="1" applyBorder="1" applyAlignment="1">
      <alignment horizontal="left" vertical="top" wrapText="1"/>
    </xf>
    <xf numFmtId="4" fontId="117" fillId="65" borderId="28" xfId="0" applyNumberFormat="1" applyFont="1" applyFill="1" applyBorder="1" applyAlignment="1">
      <alignment horizontal="left" vertical="top" wrapText="1"/>
    </xf>
    <xf numFmtId="49" fontId="117" fillId="58" borderId="28" xfId="0" applyNumberFormat="1" applyFont="1" applyFill="1" applyBorder="1" applyAlignment="1">
      <alignment horizontal="center" vertical="center" wrapText="1"/>
    </xf>
    <xf numFmtId="204" fontId="117" fillId="58" borderId="28" xfId="0" applyNumberFormat="1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0" fillId="56" borderId="0" xfId="0" applyFill="1" applyAlignment="1">
      <alignment/>
    </xf>
    <xf numFmtId="0" fontId="70" fillId="0" borderId="0" xfId="0" applyFont="1" applyFill="1" applyBorder="1" applyAlignment="1">
      <alignment vertical="center"/>
    </xf>
    <xf numFmtId="0" fontId="70" fillId="56" borderId="0" xfId="0" applyFont="1" applyFill="1" applyBorder="1" applyAlignment="1">
      <alignment vertical="center" wrapText="1"/>
    </xf>
    <xf numFmtId="0" fontId="70" fillId="56" borderId="0" xfId="0" applyFont="1" applyFill="1" applyBorder="1" applyAlignment="1">
      <alignment vertical="center"/>
    </xf>
    <xf numFmtId="0" fontId="0" fillId="56" borderId="0" xfId="0" applyFill="1" applyAlignment="1">
      <alignment/>
    </xf>
    <xf numFmtId="0" fontId="6" fillId="0" borderId="0" xfId="0" applyFont="1" applyAlignment="1">
      <alignment wrapText="1"/>
    </xf>
    <xf numFmtId="0" fontId="120" fillId="66" borderId="28" xfId="0" applyFont="1" applyFill="1" applyBorder="1" applyAlignment="1">
      <alignment horizontal="center" vertical="center" wrapText="1"/>
    </xf>
    <xf numFmtId="0" fontId="120" fillId="58" borderId="28" xfId="0" applyFont="1" applyFill="1" applyBorder="1" applyAlignment="1">
      <alignment horizontal="center" vertical="center" wrapText="1"/>
    </xf>
    <xf numFmtId="0" fontId="120" fillId="67" borderId="35" xfId="0" applyFont="1" applyFill="1" applyBorder="1" applyAlignment="1">
      <alignment horizontal="center" vertical="center" wrapText="1"/>
    </xf>
    <xf numFmtId="0" fontId="120" fillId="67" borderId="36" xfId="0" applyFont="1" applyFill="1" applyBorder="1" applyAlignment="1">
      <alignment horizontal="center" vertical="center" wrapText="1"/>
    </xf>
    <xf numFmtId="0" fontId="120" fillId="67" borderId="37" xfId="0" applyFont="1" applyFill="1" applyBorder="1" applyAlignment="1">
      <alignment horizontal="center" vertical="center" wrapText="1"/>
    </xf>
    <xf numFmtId="0" fontId="7" fillId="58" borderId="30" xfId="201" applyFont="1" applyFill="1" applyBorder="1" applyAlignment="1">
      <alignment horizontal="left" vertical="center" wrapText="1"/>
      <protection/>
    </xf>
    <xf numFmtId="0" fontId="7" fillId="58" borderId="30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left" vertical="center" wrapText="1"/>
      <protection/>
    </xf>
    <xf numFmtId="2" fontId="116" fillId="0" borderId="28" xfId="201" applyNumberFormat="1" applyFont="1" applyFill="1" applyBorder="1" applyAlignment="1">
      <alignment vertical="center" wrapText="1"/>
      <protection/>
    </xf>
    <xf numFmtId="2" fontId="7" fillId="0" borderId="28" xfId="201" applyNumberFormat="1" applyFont="1" applyFill="1" applyBorder="1" applyAlignment="1">
      <alignment horizontal="center" vertical="center" wrapText="1"/>
      <protection/>
    </xf>
    <xf numFmtId="0" fontId="117" fillId="58" borderId="28" xfId="201" applyFont="1" applyFill="1" applyBorder="1" applyAlignment="1">
      <alignment horizontal="left" vertical="center" wrapText="1"/>
      <protection/>
    </xf>
    <xf numFmtId="203" fontId="117" fillId="58" borderId="28" xfId="201" applyNumberFormat="1" applyFont="1" applyFill="1" applyBorder="1" applyAlignment="1">
      <alignment horizontal="left" vertical="center" wrapText="1"/>
      <protection/>
    </xf>
    <xf numFmtId="203" fontId="117" fillId="58" borderId="28" xfId="201" applyNumberFormat="1" applyFont="1" applyFill="1" applyBorder="1" applyAlignment="1">
      <alignment horizontal="center" vertical="center" wrapText="1"/>
      <protection/>
    </xf>
    <xf numFmtId="0" fontId="7" fillId="64" borderId="28" xfId="201" applyFont="1" applyFill="1" applyBorder="1" applyAlignment="1">
      <alignment vertical="center" wrapText="1"/>
      <protection/>
    </xf>
    <xf numFmtId="2" fontId="7" fillId="64" borderId="28" xfId="201" applyNumberFormat="1" applyFont="1" applyFill="1" applyBorder="1" applyAlignment="1">
      <alignment horizontal="center" vertical="center" wrapText="1"/>
      <protection/>
    </xf>
    <xf numFmtId="0" fontId="117" fillId="58" borderId="14" xfId="201" applyFont="1" applyFill="1" applyBorder="1" applyAlignment="1">
      <alignment horizontal="left" vertical="center" wrapText="1"/>
      <protection/>
    </xf>
    <xf numFmtId="0" fontId="117" fillId="58" borderId="0" xfId="201" applyFont="1" applyFill="1" applyBorder="1" applyAlignment="1">
      <alignment horizontal="left" vertical="center" wrapText="1"/>
      <protection/>
    </xf>
    <xf numFmtId="0" fontId="117" fillId="58" borderId="38" xfId="201" applyFont="1" applyFill="1" applyBorder="1" applyAlignment="1">
      <alignment horizontal="left" vertical="center" wrapText="1"/>
      <protection/>
    </xf>
    <xf numFmtId="0" fontId="7" fillId="64" borderId="31" xfId="201" applyFont="1" applyFill="1" applyBorder="1" applyAlignment="1">
      <alignment vertical="center" wrapText="1"/>
      <protection/>
    </xf>
    <xf numFmtId="2" fontId="7" fillId="64" borderId="34" xfId="201" applyNumberFormat="1" applyFont="1" applyFill="1" applyBorder="1" applyAlignment="1">
      <alignment horizontal="center" vertical="center" wrapText="1"/>
      <protection/>
    </xf>
    <xf numFmtId="0" fontId="117" fillId="58" borderId="32" xfId="201" applyFont="1" applyFill="1" applyBorder="1" applyAlignment="1">
      <alignment horizontal="left" vertical="center" wrapText="1"/>
      <protection/>
    </xf>
    <xf numFmtId="0" fontId="117" fillId="58" borderId="33" xfId="201" applyFont="1" applyFill="1" applyBorder="1" applyAlignment="1">
      <alignment horizontal="left" vertical="center" wrapText="1"/>
      <protection/>
    </xf>
    <xf numFmtId="0" fontId="117" fillId="58" borderId="34" xfId="201" applyFont="1" applyFill="1" applyBorder="1" applyAlignment="1">
      <alignment horizontal="center" vertical="center" wrapText="1"/>
      <protection/>
    </xf>
    <xf numFmtId="0" fontId="117" fillId="58" borderId="30" xfId="201" applyFont="1" applyFill="1" applyBorder="1" applyAlignment="1">
      <alignment horizontal="left" vertical="center" wrapText="1"/>
      <protection/>
    </xf>
    <xf numFmtId="0" fontId="120" fillId="58" borderId="0" xfId="0" applyFont="1" applyFill="1" applyBorder="1" applyAlignment="1">
      <alignment horizontal="center" vertical="center" wrapText="1"/>
    </xf>
    <xf numFmtId="0" fontId="7" fillId="58" borderId="24" xfId="201" applyFont="1" applyFill="1" applyBorder="1" applyAlignment="1">
      <alignment horizontal="center" vertical="center" wrapText="1"/>
      <protection/>
    </xf>
    <xf numFmtId="0" fontId="7" fillId="58" borderId="25" xfId="201" applyFont="1" applyFill="1" applyBorder="1" applyAlignment="1">
      <alignment horizontal="center" vertical="center" wrapText="1"/>
      <protection/>
    </xf>
    <xf numFmtId="0" fontId="7" fillId="58" borderId="29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vertical="center" wrapText="1"/>
      <protection/>
    </xf>
    <xf numFmtId="0" fontId="7" fillId="0" borderId="28" xfId="201" applyFont="1" applyFill="1" applyBorder="1" applyAlignment="1">
      <alignment horizontal="center" vertical="center" wrapText="1"/>
      <protection/>
    </xf>
    <xf numFmtId="0" fontId="7" fillId="0" borderId="28" xfId="201" applyFont="1" applyFill="1" applyBorder="1" applyAlignment="1">
      <alignment horizontal="right" vertical="center" wrapText="1"/>
      <protection/>
    </xf>
    <xf numFmtId="0" fontId="7" fillId="0" borderId="24" xfId="201" applyFont="1" applyFill="1" applyBorder="1" applyAlignment="1">
      <alignment horizontal="center" vertical="center" wrapText="1"/>
      <protection/>
    </xf>
    <xf numFmtId="0" fontId="7" fillId="0" borderId="29" xfId="201" applyFont="1" applyFill="1" applyBorder="1" applyAlignment="1">
      <alignment horizontal="center" vertical="center" wrapText="1"/>
      <protection/>
    </xf>
    <xf numFmtId="0" fontId="7" fillId="0" borderId="30" xfId="201" applyFont="1" applyFill="1" applyBorder="1" applyAlignment="1">
      <alignment horizontal="center" vertical="center" wrapText="1"/>
      <protection/>
    </xf>
    <xf numFmtId="0" fontId="116" fillId="0" borderId="28" xfId="201" applyFont="1" applyFill="1" applyBorder="1" applyAlignment="1">
      <alignment vertical="center" wrapText="1"/>
      <protection/>
    </xf>
    <xf numFmtId="0" fontId="120" fillId="0" borderId="28" xfId="201" applyFont="1" applyFill="1" applyBorder="1" applyAlignment="1">
      <alignment horizontal="center" vertical="center" wrapText="1"/>
      <protection/>
    </xf>
    <xf numFmtId="2" fontId="120" fillId="0" borderId="28" xfId="201" applyNumberFormat="1" applyFont="1" applyFill="1" applyBorder="1" applyAlignment="1">
      <alignment horizontal="center" vertical="center" wrapText="1"/>
      <protection/>
    </xf>
    <xf numFmtId="0" fontId="120" fillId="0" borderId="28" xfId="201" applyFont="1" applyFill="1" applyBorder="1" applyAlignment="1">
      <alignment vertical="center" wrapText="1"/>
      <protection/>
    </xf>
    <xf numFmtId="0" fontId="7" fillId="0" borderId="31" xfId="201" applyFont="1" applyFill="1" applyBorder="1" applyAlignment="1">
      <alignment horizontal="center" vertical="center" wrapText="1"/>
      <protection/>
    </xf>
    <xf numFmtId="0" fontId="6" fillId="0" borderId="30" xfId="201" applyFont="1" applyFill="1" applyBorder="1" applyAlignment="1">
      <alignment vertical="center" wrapText="1"/>
      <protection/>
    </xf>
    <xf numFmtId="2" fontId="6" fillId="0" borderId="28" xfId="201" applyNumberFormat="1" applyFont="1" applyFill="1" applyBorder="1" applyAlignment="1">
      <alignment horizontal="right" vertical="center" wrapText="1"/>
      <protection/>
    </xf>
    <xf numFmtId="2" fontId="6" fillId="58" borderId="28" xfId="201" applyNumberFormat="1" applyFont="1" applyFill="1" applyBorder="1" applyAlignment="1">
      <alignment horizontal="right" vertical="center" wrapText="1"/>
      <protection/>
    </xf>
    <xf numFmtId="2" fontId="6" fillId="0" borderId="28" xfId="201" applyNumberFormat="1" applyFont="1" applyFill="1" applyBorder="1" applyAlignment="1">
      <alignment vertical="center" wrapText="1"/>
      <protection/>
    </xf>
    <xf numFmtId="2" fontId="6" fillId="0" borderId="28" xfId="201" applyNumberFormat="1" applyFont="1" applyFill="1" applyBorder="1" applyAlignment="1">
      <alignment horizontal="center" vertical="center" wrapText="1"/>
      <protection/>
    </xf>
    <xf numFmtId="0" fontId="7" fillId="0" borderId="24" xfId="201" applyFont="1" applyFill="1" applyBorder="1" applyAlignment="1">
      <alignment horizontal="left" vertical="center" wrapText="1"/>
      <protection/>
    </xf>
    <xf numFmtId="0" fontId="7" fillId="0" borderId="25" xfId="201" applyFont="1" applyFill="1" applyBorder="1" applyAlignment="1">
      <alignment horizontal="left" vertical="center" wrapText="1"/>
      <protection/>
    </xf>
    <xf numFmtId="0" fontId="6" fillId="0" borderId="28" xfId="201" applyFont="1" applyFill="1" applyBorder="1" applyAlignment="1">
      <alignment vertical="center" wrapText="1"/>
      <protection/>
    </xf>
    <xf numFmtId="0" fontId="117" fillId="0" borderId="0" xfId="201" applyFont="1" applyFill="1" applyBorder="1" applyAlignment="1">
      <alignment horizontal="center" vertical="center" wrapText="1"/>
      <protection/>
    </xf>
    <xf numFmtId="0" fontId="7" fillId="64" borderId="30" xfId="201" applyFont="1" applyFill="1" applyBorder="1" applyAlignment="1">
      <alignment vertical="center" wrapText="1"/>
      <protection/>
    </xf>
    <xf numFmtId="2" fontId="7" fillId="64" borderId="30" xfId="201" applyNumberFormat="1" applyFont="1" applyFill="1" applyBorder="1" applyAlignment="1">
      <alignment horizontal="center" vertical="center" wrapText="1"/>
      <protection/>
    </xf>
    <xf numFmtId="0" fontId="7" fillId="58" borderId="28" xfId="201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 horizontal="center"/>
    </xf>
    <xf numFmtId="0" fontId="14" fillId="58" borderId="0" xfId="201" applyFont="1" applyFill="1" applyBorder="1" applyAlignment="1">
      <alignment vertical="center"/>
      <protection/>
    </xf>
    <xf numFmtId="0" fontId="14" fillId="58" borderId="38" xfId="201" applyFont="1" applyFill="1" applyBorder="1" applyAlignment="1">
      <alignment vertical="center"/>
      <protection/>
    </xf>
    <xf numFmtId="0" fontId="14" fillId="58" borderId="14" xfId="201" applyFont="1" applyFill="1" applyBorder="1" applyAlignment="1">
      <alignment horizontal="left" vertical="center"/>
      <protection/>
    </xf>
    <xf numFmtId="0" fontId="14" fillId="58" borderId="0" xfId="201" applyFont="1" applyFill="1" applyBorder="1" applyAlignment="1">
      <alignment horizontal="left" vertical="center"/>
      <protection/>
    </xf>
    <xf numFmtId="0" fontId="14" fillId="58" borderId="38" xfId="201" applyFont="1" applyFill="1" applyBorder="1" applyAlignment="1">
      <alignment horizontal="left" vertical="center"/>
      <protection/>
    </xf>
    <xf numFmtId="2" fontId="7" fillId="64" borderId="29" xfId="201" applyNumberFormat="1" applyFont="1" applyFill="1" applyBorder="1" applyAlignment="1">
      <alignment horizontal="center" vertical="center" wrapText="1"/>
      <protection/>
    </xf>
    <xf numFmtId="0" fontId="7" fillId="58" borderId="0" xfId="201" applyFont="1" applyFill="1" applyBorder="1" applyAlignment="1">
      <alignment horizontal="left" vertical="center" wrapText="1"/>
      <protection/>
    </xf>
    <xf numFmtId="0" fontId="7" fillId="58" borderId="0" xfId="201" applyFont="1" applyFill="1" applyBorder="1" applyAlignment="1">
      <alignment horizontal="center" vertical="center" wrapText="1"/>
      <protection/>
    </xf>
    <xf numFmtId="0" fontId="7" fillId="58" borderId="28" xfId="201" applyFont="1" applyFill="1" applyBorder="1" applyAlignment="1">
      <alignment horizontal="left" vertical="center" wrapText="1"/>
      <protection/>
    </xf>
    <xf numFmtId="2" fontId="116" fillId="0" borderId="28" xfId="201" applyNumberFormat="1" applyFont="1" applyFill="1" applyBorder="1" applyAlignment="1">
      <alignment horizontal="center" vertical="center" wrapText="1"/>
      <protection/>
    </xf>
    <xf numFmtId="0" fontId="6" fillId="0" borderId="28" xfId="201" applyFont="1" applyFill="1" applyBorder="1" applyAlignment="1">
      <alignment horizontal="left" vertical="center" wrapText="1"/>
      <protection/>
    </xf>
    <xf numFmtId="2" fontId="117" fillId="0" borderId="28" xfId="201" applyNumberFormat="1" applyFont="1" applyFill="1" applyBorder="1" applyAlignment="1">
      <alignment horizontal="center" vertical="center" wrapText="1"/>
      <protection/>
    </xf>
    <xf numFmtId="0" fontId="6" fillId="0" borderId="24" xfId="201" applyFont="1" applyFill="1" applyBorder="1" applyAlignment="1">
      <alignment horizontal="left" vertical="center" wrapText="1"/>
      <protection/>
    </xf>
    <xf numFmtId="0" fontId="6" fillId="0" borderId="25" xfId="201" applyFont="1" applyFill="1" applyBorder="1" applyAlignment="1">
      <alignment horizontal="left" vertical="center" wrapText="1"/>
      <protection/>
    </xf>
    <xf numFmtId="0" fontId="6" fillId="0" borderId="29" xfId="201" applyFont="1" applyFill="1" applyBorder="1" applyAlignment="1">
      <alignment horizontal="left" vertical="center" wrapText="1"/>
      <protection/>
    </xf>
    <xf numFmtId="0" fontId="6" fillId="0" borderId="0" xfId="201" applyFont="1" applyFill="1" applyBorder="1" applyAlignment="1">
      <alignment vertical="center" wrapText="1"/>
      <protection/>
    </xf>
    <xf numFmtId="2" fontId="7" fillId="64" borderId="31" xfId="201" applyNumberFormat="1" applyFont="1" applyFill="1" applyBorder="1" applyAlignment="1">
      <alignment horizontal="center" vertical="center" wrapText="1"/>
      <protection/>
    </xf>
    <xf numFmtId="0" fontId="7" fillId="58" borderId="31" xfId="201" applyFont="1" applyFill="1" applyBorder="1" applyAlignment="1">
      <alignment horizontal="left" vertical="center" wrapText="1"/>
      <protection/>
    </xf>
    <xf numFmtId="0" fontId="6" fillId="0" borderId="38" xfId="0" applyFont="1" applyBorder="1" applyAlignment="1">
      <alignment horizontal="center" wrapText="1"/>
    </xf>
    <xf numFmtId="0" fontId="7" fillId="64" borderId="32" xfId="201" applyFont="1" applyFill="1" applyBorder="1" applyAlignment="1">
      <alignment vertical="center" wrapText="1"/>
      <protection/>
    </xf>
    <xf numFmtId="2" fontId="117" fillId="0" borderId="28" xfId="201" applyNumberFormat="1" applyFont="1" applyFill="1" applyBorder="1" applyAlignment="1">
      <alignment vertical="center" wrapText="1"/>
      <protection/>
    </xf>
    <xf numFmtId="0" fontId="7" fillId="64" borderId="28" xfId="201" applyFont="1" applyFill="1" applyBorder="1" applyAlignment="1">
      <alignment horizontal="right" vertical="center" wrapText="1"/>
      <protection/>
    </xf>
    <xf numFmtId="0" fontId="6" fillId="0" borderId="32" xfId="201" applyFont="1" applyFill="1" applyBorder="1" applyAlignment="1">
      <alignment horizontal="left" vertical="center" wrapText="1"/>
      <protection/>
    </xf>
    <xf numFmtId="0" fontId="6" fillId="0" borderId="33" xfId="201" applyFont="1" applyFill="1" applyBorder="1" applyAlignment="1">
      <alignment horizontal="left" vertical="center" wrapText="1"/>
      <protection/>
    </xf>
    <xf numFmtId="0" fontId="6" fillId="0" borderId="34" xfId="201" applyFont="1" applyFill="1" applyBorder="1" applyAlignment="1">
      <alignment horizontal="left" vertical="center" wrapText="1"/>
      <protection/>
    </xf>
    <xf numFmtId="203" fontId="6" fillId="0" borderId="28" xfId="201" applyNumberFormat="1" applyFont="1" applyFill="1" applyBorder="1" applyAlignment="1">
      <alignment vertical="center" wrapText="1"/>
      <protection/>
    </xf>
    <xf numFmtId="203" fontId="6" fillId="0" borderId="28" xfId="201" applyNumberFormat="1" applyFont="1" applyFill="1" applyBorder="1" applyAlignment="1">
      <alignment horizontal="center" vertical="center" wrapText="1"/>
      <protection/>
    </xf>
    <xf numFmtId="0" fontId="7" fillId="0" borderId="29" xfId="201" applyFont="1" applyFill="1" applyBorder="1" applyAlignment="1">
      <alignment horizontal="left" vertical="center" wrapText="1"/>
      <protection/>
    </xf>
    <xf numFmtId="203" fontId="7" fillId="0" borderId="28" xfId="201" applyNumberFormat="1" applyFont="1" applyFill="1" applyBorder="1" applyAlignment="1">
      <alignment vertical="center" wrapText="1"/>
      <protection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203" fontId="7" fillId="64" borderId="28" xfId="201" applyNumberFormat="1" applyFont="1" applyFill="1" applyBorder="1" applyAlignment="1">
      <alignment horizontal="center" vertical="center" wrapText="1"/>
      <protection/>
    </xf>
    <xf numFmtId="0" fontId="6" fillId="0" borderId="24" xfId="201" applyFont="1" applyFill="1" applyBorder="1" applyAlignment="1">
      <alignment horizontal="left" vertical="top" wrapText="1"/>
      <protection/>
    </xf>
    <xf numFmtId="0" fontId="6" fillId="0" borderId="25" xfId="201" applyFont="1" applyFill="1" applyBorder="1" applyAlignment="1">
      <alignment horizontal="left" vertical="top" wrapText="1"/>
      <protection/>
    </xf>
    <xf numFmtId="0" fontId="6" fillId="0" borderId="29" xfId="201" applyFont="1" applyFill="1" applyBorder="1" applyAlignment="1">
      <alignment horizontal="left" vertical="top" wrapText="1"/>
      <protection/>
    </xf>
    <xf numFmtId="0" fontId="6" fillId="0" borderId="2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8" xfId="0" applyFont="1" applyBorder="1" applyAlignment="1">
      <alignment wrapText="1"/>
    </xf>
    <xf numFmtId="203" fontId="6" fillId="0" borderId="29" xfId="201" applyNumberFormat="1" applyFont="1" applyFill="1" applyBorder="1" applyAlignment="1">
      <alignment vertical="center" wrapText="1"/>
      <protection/>
    </xf>
    <xf numFmtId="0" fontId="6" fillId="0" borderId="25" xfId="201" applyFont="1" applyFill="1" applyBorder="1" applyAlignment="1">
      <alignment vertical="center" wrapText="1"/>
      <protection/>
    </xf>
    <xf numFmtId="203" fontId="6" fillId="0" borderId="25" xfId="201" applyNumberFormat="1" applyFont="1" applyFill="1" applyBorder="1" applyAlignment="1">
      <alignment vertical="center" wrapText="1"/>
      <protection/>
    </xf>
    <xf numFmtId="0" fontId="7" fillId="0" borderId="24" xfId="201" applyFont="1" applyBorder="1" applyAlignment="1">
      <alignment horizontal="left" vertical="center" wrapText="1"/>
      <protection/>
    </xf>
    <xf numFmtId="0" fontId="7" fillId="0" borderId="25" xfId="201" applyFont="1" applyBorder="1" applyAlignment="1">
      <alignment horizontal="left" vertical="center" wrapText="1"/>
      <protection/>
    </xf>
    <xf numFmtId="0" fontId="7" fillId="0" borderId="29" xfId="201" applyFont="1" applyBorder="1" applyAlignment="1">
      <alignment horizontal="left" vertical="center" wrapText="1"/>
      <protection/>
    </xf>
    <xf numFmtId="2" fontId="116" fillId="0" borderId="28" xfId="201" applyNumberFormat="1" applyFont="1" applyBorder="1" applyAlignment="1">
      <alignment vertical="center" wrapText="1"/>
      <protection/>
    </xf>
    <xf numFmtId="2" fontId="7" fillId="0" borderId="24" xfId="201" applyNumberFormat="1" applyFont="1" applyBorder="1" applyAlignment="1">
      <alignment horizontal="center" vertical="center" wrapText="1"/>
      <protection/>
    </xf>
    <xf numFmtId="203" fontId="117" fillId="58" borderId="24" xfId="201" applyNumberFormat="1" applyFont="1" applyFill="1" applyBorder="1" applyAlignment="1">
      <alignment horizontal="center" vertical="center" wrapText="1"/>
      <protection/>
    </xf>
    <xf numFmtId="2" fontId="7" fillId="64" borderId="25" xfId="201" applyNumberFormat="1" applyFont="1" applyFill="1" applyBorder="1" applyAlignment="1">
      <alignment horizontal="center" vertical="center" wrapText="1"/>
      <protection/>
    </xf>
    <xf numFmtId="0" fontId="7" fillId="56" borderId="28" xfId="201" applyFont="1" applyFill="1" applyBorder="1" applyAlignment="1">
      <alignment horizontal="left" vertical="center" wrapText="1"/>
      <protection/>
    </xf>
    <xf numFmtId="0" fontId="7" fillId="56" borderId="28" xfId="201" applyFont="1" applyFill="1" applyBorder="1" applyAlignment="1">
      <alignment horizontal="center" vertical="center" wrapText="1"/>
      <protection/>
    </xf>
    <xf numFmtId="0" fontId="7" fillId="0" borderId="28" xfId="201" applyFont="1" applyBorder="1" applyAlignment="1">
      <alignment horizontal="left" vertical="center" wrapText="1"/>
      <protection/>
    </xf>
    <xf numFmtId="0" fontId="7" fillId="0" borderId="28" xfId="201" applyFont="1" applyBorder="1" applyAlignment="1">
      <alignment horizontal="center" vertical="center" wrapText="1"/>
      <protection/>
    </xf>
    <xf numFmtId="2" fontId="7" fillId="0" borderId="28" xfId="201" applyNumberFormat="1" applyFont="1" applyBorder="1" applyAlignment="1">
      <alignment horizontal="center" vertical="center" wrapText="1"/>
      <protection/>
    </xf>
    <xf numFmtId="2" fontId="116" fillId="0" borderId="28" xfId="201" applyNumberFormat="1" applyFont="1" applyBorder="1" applyAlignment="1">
      <alignment horizontal="right" vertical="center" wrapText="1"/>
      <protection/>
    </xf>
    <xf numFmtId="0" fontId="117" fillId="0" borderId="28" xfId="201" applyFont="1" applyBorder="1" applyAlignment="1">
      <alignment horizontal="left" vertical="center" wrapText="1"/>
      <protection/>
    </xf>
    <xf numFmtId="2" fontId="117" fillId="0" borderId="28" xfId="201" applyNumberFormat="1" applyFont="1" applyBorder="1" applyAlignment="1">
      <alignment vertical="center" wrapText="1"/>
      <protection/>
    </xf>
    <xf numFmtId="2" fontId="117" fillId="0" borderId="28" xfId="201" applyNumberFormat="1" applyFont="1" applyBorder="1" applyAlignment="1">
      <alignment horizontal="right" vertical="center" wrapText="1"/>
      <protection/>
    </xf>
    <xf numFmtId="2" fontId="117" fillId="0" borderId="28" xfId="201" applyNumberFormat="1" applyFont="1" applyBorder="1" applyAlignment="1">
      <alignment horizontal="center" vertical="center" wrapText="1"/>
      <protection/>
    </xf>
    <xf numFmtId="0" fontId="7" fillId="66" borderId="28" xfId="201" applyFont="1" applyFill="1" applyBorder="1" applyAlignment="1">
      <alignment vertical="center" wrapText="1"/>
      <protection/>
    </xf>
    <xf numFmtId="2" fontId="7" fillId="66" borderId="28" xfId="201" applyNumberFormat="1" applyFont="1" applyFill="1" applyBorder="1" applyAlignment="1">
      <alignment horizontal="center" vertical="center" wrapText="1"/>
      <protection/>
    </xf>
    <xf numFmtId="0" fontId="7" fillId="56" borderId="24" xfId="201" applyFont="1" applyFill="1" applyBorder="1" applyAlignment="1">
      <alignment horizontal="left" vertical="center" wrapText="1"/>
      <protection/>
    </xf>
    <xf numFmtId="0" fontId="7" fillId="56" borderId="25" xfId="201" applyFont="1" applyFill="1" applyBorder="1" applyAlignment="1">
      <alignment horizontal="left" vertical="center" wrapText="1"/>
      <protection/>
    </xf>
    <xf numFmtId="0" fontId="7" fillId="56" borderId="29" xfId="201" applyFont="1" applyFill="1" applyBorder="1" applyAlignment="1">
      <alignment horizontal="center" vertical="center" wrapText="1"/>
      <protection/>
    </xf>
    <xf numFmtId="0" fontId="7" fillId="0" borderId="28" xfId="201" applyFont="1" applyBorder="1" applyAlignment="1">
      <alignment horizontal="right" vertical="center" wrapText="1"/>
      <protection/>
    </xf>
    <xf numFmtId="0" fontId="116" fillId="0" borderId="28" xfId="201" applyFont="1" applyBorder="1" applyAlignment="1">
      <alignment horizontal="left" vertical="center" wrapText="1"/>
      <protection/>
    </xf>
    <xf numFmtId="0" fontId="6" fillId="0" borderId="28" xfId="20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wrapText="1"/>
    </xf>
    <xf numFmtId="0" fontId="117" fillId="0" borderId="0" xfId="201" applyFont="1" applyBorder="1" applyAlignment="1">
      <alignment horizontal="center" vertical="center" wrapText="1"/>
      <protection/>
    </xf>
    <xf numFmtId="0" fontId="7" fillId="0" borderId="28" xfId="201" applyFont="1" applyBorder="1" applyAlignment="1">
      <alignment vertical="center" wrapText="1"/>
      <protection/>
    </xf>
    <xf numFmtId="2" fontId="116" fillId="0" borderId="28" xfId="201" applyNumberFormat="1" applyFont="1" applyBorder="1" applyAlignment="1">
      <alignment horizontal="center" vertical="center" wrapText="1"/>
      <protection/>
    </xf>
    <xf numFmtId="0" fontId="117" fillId="0" borderId="28" xfId="201" applyFont="1" applyBorder="1" applyAlignment="1">
      <alignment vertical="center" wrapText="1"/>
      <protection/>
    </xf>
    <xf numFmtId="203" fontId="6" fillId="0" borderId="28" xfId="201" applyNumberFormat="1" applyFont="1" applyBorder="1" applyAlignment="1">
      <alignment horizontal="center" vertical="center" wrapText="1"/>
      <protection/>
    </xf>
    <xf numFmtId="203" fontId="117" fillId="0" borderId="28" xfId="201" applyNumberFormat="1" applyFont="1" applyBorder="1" applyAlignment="1">
      <alignment horizontal="center" vertical="center" wrapText="1"/>
      <protection/>
    </xf>
    <xf numFmtId="0" fontId="117" fillId="0" borderId="24" xfId="201" applyFont="1" applyBorder="1" applyAlignment="1">
      <alignment horizontal="left" vertical="center" wrapText="1"/>
      <protection/>
    </xf>
    <xf numFmtId="0" fontId="117" fillId="0" borderId="25" xfId="201" applyFont="1" applyBorder="1" applyAlignment="1">
      <alignment horizontal="left" vertical="center" wrapText="1"/>
      <protection/>
    </xf>
    <xf numFmtId="0" fontId="117" fillId="0" borderId="29" xfId="201" applyFont="1" applyBorder="1" applyAlignment="1">
      <alignment horizontal="left" vertical="center" wrapText="1"/>
      <protection/>
    </xf>
    <xf numFmtId="0" fontId="6" fillId="0" borderId="33" xfId="0" applyFont="1" applyBorder="1" applyAlignment="1">
      <alignment horizontal="center" wrapText="1"/>
    </xf>
    <xf numFmtId="0" fontId="6" fillId="56" borderId="33" xfId="0" applyFont="1" applyFill="1" applyBorder="1" applyAlignment="1">
      <alignment horizontal="center" wrapText="1"/>
    </xf>
    <xf numFmtId="0" fontId="7" fillId="56" borderId="28" xfId="201" applyFont="1" applyFill="1" applyBorder="1" applyAlignment="1">
      <alignment vertical="center" wrapText="1"/>
      <protection/>
    </xf>
    <xf numFmtId="2" fontId="6" fillId="56" borderId="28" xfId="201" applyNumberFormat="1" applyFont="1" applyFill="1" applyBorder="1" applyAlignment="1">
      <alignment vertical="center" wrapText="1"/>
      <protection/>
    </xf>
    <xf numFmtId="0" fontId="117" fillId="0" borderId="28" xfId="201" applyFont="1" applyBorder="1" applyAlignment="1">
      <alignment horizontal="center" vertical="center" wrapText="1"/>
      <protection/>
    </xf>
    <xf numFmtId="4" fontId="6" fillId="56" borderId="28" xfId="201" applyNumberFormat="1" applyFont="1" applyFill="1" applyBorder="1" applyAlignment="1">
      <alignment vertical="center" wrapText="1"/>
      <protection/>
    </xf>
    <xf numFmtId="0" fontId="117" fillId="0" borderId="30" xfId="201" applyFont="1" applyBorder="1" applyAlignment="1">
      <alignment horizontal="center" vertical="center" wrapText="1"/>
      <protection/>
    </xf>
    <xf numFmtId="0" fontId="125" fillId="0" borderId="0" xfId="201" applyFont="1" applyFill="1" applyBorder="1" applyAlignment="1">
      <alignment horizontal="center" vertical="center" wrapText="1"/>
      <protection/>
    </xf>
    <xf numFmtId="0" fontId="7" fillId="68" borderId="28" xfId="201" applyFont="1" applyFill="1" applyBorder="1" applyAlignment="1">
      <alignment vertical="center" wrapText="1"/>
      <protection/>
    </xf>
    <xf numFmtId="2" fontId="7" fillId="68" borderId="34" xfId="201" applyNumberFormat="1" applyFont="1" applyFill="1" applyBorder="1" applyAlignment="1">
      <alignment horizontal="center" vertical="center" wrapText="1"/>
      <protection/>
    </xf>
    <xf numFmtId="0" fontId="117" fillId="0" borderId="2" xfId="201" applyFont="1" applyBorder="1" applyAlignment="1">
      <alignment horizontal="center" vertical="center" wrapText="1"/>
      <protection/>
    </xf>
    <xf numFmtId="0" fontId="6" fillId="0" borderId="0" xfId="201" applyFont="1" applyFill="1" applyBorder="1" applyAlignment="1">
      <alignment horizontal="center" vertical="center" wrapText="1"/>
      <protection/>
    </xf>
    <xf numFmtId="2" fontId="6" fillId="0" borderId="24" xfId="201" applyNumberFormat="1" applyFont="1" applyFill="1" applyBorder="1" applyAlignment="1">
      <alignment horizontal="center" vertical="center" wrapText="1"/>
      <protection/>
    </xf>
    <xf numFmtId="2" fontId="6" fillId="0" borderId="29" xfId="201" applyNumberFormat="1" applyFont="1" applyFill="1" applyBorder="1" applyAlignment="1">
      <alignment horizontal="center" vertical="center" wrapText="1"/>
      <protection/>
    </xf>
    <xf numFmtId="2" fontId="6" fillId="0" borderId="28" xfId="201" applyNumberFormat="1" applyFont="1" applyFill="1" applyBorder="1" applyAlignment="1">
      <alignment horizontal="left" vertical="center" wrapText="1"/>
      <protection/>
    </xf>
    <xf numFmtId="0" fontId="6" fillId="56" borderId="0" xfId="0" applyFont="1" applyFill="1" applyBorder="1" applyAlignment="1">
      <alignment wrapText="1"/>
    </xf>
    <xf numFmtId="0" fontId="7" fillId="56" borderId="0" xfId="201" applyFont="1" applyFill="1" applyBorder="1" applyAlignment="1">
      <alignment vertical="center" wrapText="1"/>
      <protection/>
    </xf>
    <xf numFmtId="2" fontId="7" fillId="56" borderId="0" xfId="201" applyNumberFormat="1" applyFont="1" applyFill="1" applyBorder="1" applyAlignment="1">
      <alignment horizontal="center" vertical="center" wrapText="1"/>
      <protection/>
    </xf>
    <xf numFmtId="0" fontId="119" fillId="0" borderId="28" xfId="0" applyFont="1" applyFill="1" applyBorder="1" applyAlignment="1">
      <alignment horizontal="left" vertical="center" wrapText="1"/>
    </xf>
    <xf numFmtId="203" fontId="119" fillId="0" borderId="28" xfId="0" applyNumberFormat="1" applyFont="1" applyFill="1" applyBorder="1" applyAlignment="1">
      <alignment horizontal="center" vertical="center" wrapText="1"/>
    </xf>
    <xf numFmtId="0" fontId="119" fillId="0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7" fillId="0" borderId="35" xfId="201" applyFont="1" applyBorder="1" applyAlignment="1">
      <alignment horizontal="center" vertical="center" wrapText="1"/>
      <protection/>
    </xf>
    <xf numFmtId="0" fontId="117" fillId="0" borderId="36" xfId="201" applyFont="1" applyBorder="1" applyAlignment="1">
      <alignment horizontal="center" vertical="center" wrapText="1"/>
      <protection/>
    </xf>
    <xf numFmtId="0" fontId="117" fillId="0" borderId="37" xfId="201" applyFont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7" fillId="0" borderId="35" xfId="201" applyFont="1" applyBorder="1" applyAlignment="1">
      <alignment horizontal="center" vertical="center" wrapText="1"/>
      <protection/>
    </xf>
    <xf numFmtId="0" fontId="7" fillId="0" borderId="36" xfId="201" applyFont="1" applyBorder="1" applyAlignment="1">
      <alignment horizontal="center" vertical="center" wrapText="1"/>
      <protection/>
    </xf>
    <xf numFmtId="0" fontId="7" fillId="0" borderId="37" xfId="201" applyFont="1" applyBorder="1" applyAlignment="1">
      <alignment horizontal="center" vertical="center" wrapText="1"/>
      <protection/>
    </xf>
    <xf numFmtId="2" fontId="116" fillId="0" borderId="30" xfId="201" applyNumberFormat="1" applyFont="1" applyBorder="1" applyAlignment="1">
      <alignment horizontal="center" vertical="center" wrapText="1"/>
      <protection/>
    </xf>
    <xf numFmtId="2" fontId="116" fillId="0" borderId="24" xfId="201" applyNumberFormat="1" applyFont="1" applyBorder="1" applyAlignment="1">
      <alignment horizontal="center" vertical="center" wrapText="1"/>
      <protection/>
    </xf>
    <xf numFmtId="2" fontId="116" fillId="0" borderId="29" xfId="201" applyNumberFormat="1" applyFont="1" applyBorder="1" applyAlignment="1">
      <alignment horizontal="center" vertical="center" wrapText="1"/>
      <protection/>
    </xf>
    <xf numFmtId="2" fontId="7" fillId="0" borderId="30" xfId="201" applyNumberFormat="1" applyFont="1" applyBorder="1" applyAlignment="1">
      <alignment horizontal="center" vertical="center" wrapText="1"/>
      <protection/>
    </xf>
    <xf numFmtId="0" fontId="7" fillId="0" borderId="32" xfId="201" applyFont="1" applyBorder="1" applyAlignment="1">
      <alignment horizontal="center" vertical="center" wrapText="1"/>
      <protection/>
    </xf>
    <xf numFmtId="0" fontId="7" fillId="0" borderId="33" xfId="201" applyFont="1" applyBorder="1" applyAlignment="1">
      <alignment horizontal="center" vertical="center" wrapText="1"/>
      <protection/>
    </xf>
    <xf numFmtId="0" fontId="7" fillId="0" borderId="34" xfId="201" applyFont="1" applyBorder="1" applyAlignment="1">
      <alignment horizontal="center" vertical="center" wrapText="1"/>
      <protection/>
    </xf>
    <xf numFmtId="2" fontId="116" fillId="0" borderId="31" xfId="201" applyNumberFormat="1" applyFont="1" applyBorder="1" applyAlignment="1">
      <alignment horizontal="center" vertical="center" wrapText="1"/>
      <protection/>
    </xf>
    <xf numFmtId="2" fontId="7" fillId="0" borderId="31" xfId="201" applyNumberFormat="1" applyFont="1" applyBorder="1" applyAlignment="1">
      <alignment horizontal="center" vertical="center" wrapText="1"/>
      <protection/>
    </xf>
    <xf numFmtId="203" fontId="6" fillId="0" borderId="28" xfId="0" applyNumberFormat="1" applyFont="1" applyBorder="1" applyAlignment="1">
      <alignment wrapText="1"/>
    </xf>
    <xf numFmtId="0" fontId="7" fillId="0" borderId="35" xfId="201" applyFont="1" applyFill="1" applyBorder="1" applyAlignment="1">
      <alignment horizontal="left" vertical="center" wrapText="1"/>
      <protection/>
    </xf>
    <xf numFmtId="0" fontId="7" fillId="0" borderId="36" xfId="201" applyFont="1" applyFill="1" applyBorder="1" applyAlignment="1">
      <alignment horizontal="left" vertical="center" wrapText="1"/>
      <protection/>
    </xf>
    <xf numFmtId="0" fontId="7" fillId="0" borderId="37" xfId="201" applyFont="1" applyFill="1" applyBorder="1" applyAlignment="1">
      <alignment horizontal="left" vertical="center" wrapText="1"/>
      <protection/>
    </xf>
    <xf numFmtId="0" fontId="6" fillId="0" borderId="14" xfId="201" applyFont="1" applyFill="1" applyBorder="1" applyAlignment="1">
      <alignment horizontal="left" vertical="center" wrapText="1"/>
      <protection/>
    </xf>
    <xf numFmtId="0" fontId="6" fillId="0" borderId="0" xfId="201" applyFont="1" applyFill="1" applyBorder="1" applyAlignment="1">
      <alignment horizontal="left" vertical="center" wrapText="1"/>
      <protection/>
    </xf>
    <xf numFmtId="0" fontId="6" fillId="0" borderId="38" xfId="201" applyFont="1" applyFill="1" applyBorder="1" applyAlignment="1">
      <alignment horizontal="left" vertical="center" wrapText="1"/>
      <protection/>
    </xf>
    <xf numFmtId="0" fontId="117" fillId="0" borderId="38" xfId="201" applyFont="1" applyBorder="1" applyAlignment="1">
      <alignment horizontal="center" vertical="center" wrapText="1"/>
      <protection/>
    </xf>
    <xf numFmtId="0" fontId="16" fillId="56" borderId="0" xfId="0" applyFont="1" applyFill="1" applyAlignment="1">
      <alignment wrapText="1"/>
    </xf>
    <xf numFmtId="203" fontId="6" fillId="0" borderId="0" xfId="201" applyNumberFormat="1" applyFont="1" applyBorder="1" applyAlignment="1">
      <alignment horizontal="center" vertical="center" wrapText="1"/>
      <protection/>
    </xf>
    <xf numFmtId="0" fontId="7" fillId="0" borderId="35" xfId="201" applyFont="1" applyBorder="1" applyAlignment="1">
      <alignment horizontal="left" vertical="center" wrapText="1"/>
      <protection/>
    </xf>
    <xf numFmtId="0" fontId="7" fillId="0" borderId="36" xfId="201" applyFont="1" applyBorder="1" applyAlignment="1">
      <alignment horizontal="left" vertical="center" wrapText="1"/>
      <protection/>
    </xf>
    <xf numFmtId="0" fontId="7" fillId="0" borderId="37" xfId="201" applyFont="1" applyBorder="1" applyAlignment="1">
      <alignment horizontal="left" vertical="center" wrapText="1"/>
      <protection/>
    </xf>
    <xf numFmtId="0" fontId="117" fillId="0" borderId="14" xfId="201" applyFont="1" applyBorder="1" applyAlignment="1">
      <alignment horizontal="left" vertical="center" wrapText="1"/>
      <protection/>
    </xf>
    <xf numFmtId="0" fontId="117" fillId="0" borderId="0" xfId="201" applyFont="1" applyBorder="1" applyAlignment="1">
      <alignment horizontal="left" vertical="center" wrapText="1"/>
      <protection/>
    </xf>
    <xf numFmtId="0" fontId="117" fillId="0" borderId="38" xfId="201" applyFont="1" applyBorder="1" applyAlignment="1">
      <alignment horizontal="left" vertical="center" wrapText="1"/>
      <protection/>
    </xf>
    <xf numFmtId="0" fontId="7" fillId="0" borderId="33" xfId="201" applyFont="1" applyFill="1" applyBorder="1" applyAlignment="1">
      <alignment vertical="center" wrapText="1"/>
      <protection/>
    </xf>
    <xf numFmtId="2" fontId="7" fillId="0" borderId="33" xfId="201" applyNumberFormat="1" applyFont="1" applyFill="1" applyBorder="1" applyAlignment="1">
      <alignment horizontal="center" vertical="center" wrapText="1"/>
      <protection/>
    </xf>
    <xf numFmtId="0" fontId="7" fillId="0" borderId="25" xfId="201" applyFont="1" applyBorder="1" applyAlignment="1">
      <alignment vertical="center" wrapText="1"/>
      <protection/>
    </xf>
    <xf numFmtId="0" fontId="7" fillId="0" borderId="29" xfId="201" applyFont="1" applyBorder="1" applyAlignment="1">
      <alignment vertical="center" wrapText="1"/>
      <protection/>
    </xf>
    <xf numFmtId="0" fontId="6" fillId="0" borderId="24" xfId="201" applyFont="1" applyBorder="1" applyAlignment="1">
      <alignment horizontal="left" vertical="center" wrapText="1"/>
      <protection/>
    </xf>
    <xf numFmtId="0" fontId="6" fillId="0" borderId="25" xfId="201" applyFont="1" applyBorder="1" applyAlignment="1">
      <alignment horizontal="left" vertical="center" wrapText="1"/>
      <protection/>
    </xf>
    <xf numFmtId="0" fontId="6" fillId="0" borderId="25" xfId="201" applyFont="1" applyBorder="1" applyAlignment="1">
      <alignment vertical="center" wrapText="1"/>
      <protection/>
    </xf>
    <xf numFmtId="0" fontId="6" fillId="0" borderId="29" xfId="201" applyFont="1" applyBorder="1" applyAlignment="1">
      <alignment vertical="center" wrapText="1"/>
      <protection/>
    </xf>
    <xf numFmtId="2" fontId="6" fillId="0" borderId="28" xfId="201" applyNumberFormat="1" applyFont="1" applyBorder="1" applyAlignment="1">
      <alignment horizontal="center" vertical="center" wrapText="1"/>
      <protection/>
    </xf>
    <xf numFmtId="0" fontId="0" fillId="37" borderId="0" xfId="0" applyFill="1" applyAlignment="1">
      <alignment wrapText="1"/>
    </xf>
    <xf numFmtId="0" fontId="119" fillId="0" borderId="28" xfId="0" applyFont="1" applyFill="1" applyBorder="1" applyAlignment="1">
      <alignment vertical="center" wrapText="1"/>
    </xf>
    <xf numFmtId="203" fontId="119" fillId="0" borderId="28" xfId="0" applyNumberFormat="1" applyFont="1" applyFill="1" applyBorder="1" applyAlignment="1">
      <alignment vertical="center" wrapText="1"/>
    </xf>
    <xf numFmtId="203" fontId="6" fillId="0" borderId="28" xfId="0" applyNumberFormat="1" applyFont="1" applyBorder="1" applyAlignment="1">
      <alignment horizontal="center" wrapText="1"/>
    </xf>
    <xf numFmtId="0" fontId="7" fillId="56" borderId="29" xfId="201" applyFont="1" applyFill="1" applyBorder="1" applyAlignment="1">
      <alignment horizontal="left" vertical="center" wrapText="1"/>
      <protection/>
    </xf>
    <xf numFmtId="0" fontId="119" fillId="0" borderId="28" xfId="0" applyFont="1" applyFill="1" applyBorder="1" applyAlignment="1">
      <alignment horizontal="left" wrapText="1"/>
    </xf>
    <xf numFmtId="0" fontId="119" fillId="0" borderId="28" xfId="0" applyFont="1" applyFill="1" applyBorder="1" applyAlignment="1">
      <alignment wrapText="1"/>
    </xf>
    <xf numFmtId="0" fontId="70" fillId="37" borderId="29" xfId="0" applyFont="1" applyFill="1" applyBorder="1" applyAlignment="1">
      <alignment vertical="center" wrapText="1"/>
    </xf>
    <xf numFmtId="203" fontId="126" fillId="37" borderId="29" xfId="0" applyNumberFormat="1" applyFont="1" applyFill="1" applyBorder="1" applyAlignment="1">
      <alignment wrapText="1"/>
    </xf>
    <xf numFmtId="203" fontId="126" fillId="37" borderId="0" xfId="0" applyNumberFormat="1" applyFont="1" applyFill="1" applyAlignment="1">
      <alignment wrapText="1"/>
    </xf>
    <xf numFmtId="2" fontId="7" fillId="64" borderId="33" xfId="201" applyNumberFormat="1" applyFont="1" applyFill="1" applyBorder="1" applyAlignment="1">
      <alignment horizontal="center" vertical="center" wrapText="1"/>
      <protection/>
    </xf>
    <xf numFmtId="0" fontId="7" fillId="56" borderId="31" xfId="201" applyFont="1" applyFill="1" applyBorder="1" applyAlignment="1">
      <alignment horizontal="left" vertical="center" wrapText="1"/>
      <protection/>
    </xf>
    <xf numFmtId="0" fontId="6" fillId="0" borderId="0" xfId="201" applyFont="1" applyFill="1" applyAlignment="1">
      <alignment horizontal="center" vertical="center" wrapText="1"/>
      <protection/>
    </xf>
    <xf numFmtId="0" fontId="119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62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62" borderId="26" xfId="0" applyFont="1" applyFill="1" applyBorder="1" applyAlignment="1">
      <alignment horizontal="center" vertical="center" wrapText="1"/>
    </xf>
    <xf numFmtId="0" fontId="7" fillId="62" borderId="27" xfId="0" applyFont="1" applyFill="1" applyBorder="1" applyAlignment="1">
      <alignment horizontal="center" vertical="center" wrapText="1"/>
    </xf>
    <xf numFmtId="0" fontId="7" fillId="62" borderId="29" xfId="0" applyFont="1" applyFill="1" applyBorder="1" applyAlignment="1">
      <alignment horizontal="center" vertical="center" wrapText="1"/>
    </xf>
    <xf numFmtId="10" fontId="7" fillId="62" borderId="28" xfId="22" applyNumberFormat="1" applyFont="1" applyFill="1" applyBorder="1" applyAlignment="1">
      <alignment horizontal="center" vertical="center"/>
    </xf>
    <xf numFmtId="0" fontId="7" fillId="67" borderId="28" xfId="0" applyFont="1" applyFill="1" applyBorder="1" applyAlignment="1">
      <alignment horizontal="center" vertical="center"/>
    </xf>
    <xf numFmtId="4" fontId="7" fillId="67" borderId="28" xfId="15" applyNumberFormat="1" applyFont="1" applyFill="1" applyBorder="1" applyAlignment="1">
      <alignment horizontal="center" vertical="center"/>
    </xf>
    <xf numFmtId="4" fontId="7" fillId="67" borderId="28" xfId="0" applyNumberFormat="1" applyFont="1" applyFill="1" applyBorder="1" applyAlignment="1">
      <alignment horizontal="center" vertical="top"/>
    </xf>
    <xf numFmtId="0" fontId="7" fillId="69" borderId="28" xfId="0" applyFont="1" applyFill="1" applyBorder="1" applyAlignment="1">
      <alignment horizontal="center" vertical="center"/>
    </xf>
    <xf numFmtId="0" fontId="7" fillId="69" borderId="28" xfId="0" applyFont="1" applyFill="1" applyBorder="1" applyAlignment="1">
      <alignment horizontal="left" vertical="center"/>
    </xf>
    <xf numFmtId="2" fontId="7" fillId="69" borderId="28" xfId="0" applyNumberFormat="1" applyFont="1" applyFill="1" applyBorder="1" applyAlignment="1">
      <alignment horizontal="center" vertical="center"/>
    </xf>
    <xf numFmtId="2" fontId="7" fillId="55" borderId="28" xfId="0" applyNumberFormat="1" applyFont="1" applyFill="1" applyBorder="1" applyAlignment="1">
      <alignment horizontal="center" vertical="center"/>
    </xf>
    <xf numFmtId="4" fontId="7" fillId="55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0" fontId="6" fillId="69" borderId="28" xfId="0" applyFont="1" applyFill="1" applyBorder="1" applyAlignment="1">
      <alignment horizontal="center" vertical="center"/>
    </xf>
    <xf numFmtId="2" fontId="6" fillId="69" borderId="28" xfId="0" applyNumberFormat="1" applyFont="1" applyFill="1" applyBorder="1" applyAlignment="1">
      <alignment horizontal="center" vertical="center"/>
    </xf>
    <xf numFmtId="2" fontId="6" fillId="55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204" fontId="6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2" fontId="6" fillId="0" borderId="28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120" fillId="55" borderId="28" xfId="0" applyFont="1" applyFill="1" applyBorder="1" applyAlignment="1">
      <alignment horizontal="right" vertical="center"/>
    </xf>
    <xf numFmtId="0" fontId="120" fillId="55" borderId="28" xfId="0" applyFont="1" applyFill="1" applyBorder="1" applyAlignment="1">
      <alignment horizontal="center" vertical="center"/>
    </xf>
    <xf numFmtId="207" fontId="120" fillId="55" borderId="28" xfId="0" applyNumberFormat="1" applyFont="1" applyFill="1" applyBorder="1" applyAlignment="1">
      <alignment horizontal="center" vertical="center"/>
    </xf>
    <xf numFmtId="10" fontId="120" fillId="55" borderId="28" xfId="22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9" fillId="0" borderId="0" xfId="0" applyFont="1" applyBorder="1" applyAlignment="1">
      <alignment horizontal="left" vertical="top" wrapText="1"/>
    </xf>
    <xf numFmtId="0" fontId="1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7" fillId="62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62" borderId="28" xfId="0" applyFont="1" applyFill="1" applyBorder="1" applyAlignment="1">
      <alignment horizontal="right" vertical="center" wrapText="1"/>
    </xf>
    <xf numFmtId="10" fontId="7" fillId="62" borderId="28" xfId="22" applyNumberFormat="1" applyFont="1" applyFill="1" applyBorder="1" applyAlignment="1">
      <alignment horizontal="center" vertical="center" wrapText="1"/>
    </xf>
    <xf numFmtId="0" fontId="7" fillId="67" borderId="28" xfId="0" applyFont="1" applyFill="1" applyBorder="1" applyAlignment="1">
      <alignment horizontal="center" vertical="center" wrapText="1"/>
    </xf>
    <xf numFmtId="4" fontId="7" fillId="67" borderId="28" xfId="15" applyNumberFormat="1" applyFont="1" applyFill="1" applyBorder="1" applyAlignment="1">
      <alignment horizontal="center" vertical="center" wrapText="1"/>
    </xf>
    <xf numFmtId="4" fontId="7" fillId="67" borderId="28" xfId="0" applyNumberFormat="1" applyFont="1" applyFill="1" applyBorder="1" applyAlignment="1">
      <alignment horizontal="center" vertical="top" wrapText="1"/>
    </xf>
    <xf numFmtId="0" fontId="7" fillId="69" borderId="28" xfId="0" applyFont="1" applyFill="1" applyBorder="1" applyAlignment="1">
      <alignment horizontal="center" vertical="center" wrapText="1"/>
    </xf>
    <xf numFmtId="0" fontId="7" fillId="69" borderId="28" xfId="0" applyFont="1" applyFill="1" applyBorder="1" applyAlignment="1">
      <alignment horizontal="left" vertical="center" wrapText="1"/>
    </xf>
    <xf numFmtId="2" fontId="7" fillId="69" borderId="28" xfId="0" applyNumberFormat="1" applyFont="1" applyFill="1" applyBorder="1" applyAlignment="1">
      <alignment vertical="center" wrapText="1"/>
    </xf>
    <xf numFmtId="2" fontId="7" fillId="55" borderId="28" xfId="0" applyNumberFormat="1" applyFont="1" applyFill="1" applyBorder="1" applyAlignment="1">
      <alignment horizontal="center" vertical="center" wrapText="1"/>
    </xf>
    <xf numFmtId="4" fontId="7" fillId="55" borderId="28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0" fontId="6" fillId="69" borderId="28" xfId="0" applyFont="1" applyFill="1" applyBorder="1" applyAlignment="1">
      <alignment horizontal="center" vertical="center" wrapText="1"/>
    </xf>
    <xf numFmtId="2" fontId="6" fillId="69" borderId="28" xfId="0" applyNumberFormat="1" applyFont="1" applyFill="1" applyBorder="1" applyAlignment="1">
      <alignment vertical="center" wrapText="1"/>
    </xf>
    <xf numFmtId="2" fontId="6" fillId="55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180" fontId="19" fillId="0" borderId="0" xfId="15" applyNumberFormat="1" applyFont="1" applyBorder="1" applyAlignment="1">
      <alignment horizontal="center"/>
    </xf>
    <xf numFmtId="204" fontId="6" fillId="0" borderId="28" xfId="0" applyNumberFormat="1" applyFont="1" applyBorder="1" applyAlignment="1">
      <alignment horizontal="right" vertical="center" wrapText="1"/>
    </xf>
    <xf numFmtId="0" fontId="120" fillId="55" borderId="28" xfId="0" applyFont="1" applyFill="1" applyBorder="1" applyAlignment="1">
      <alignment horizontal="right" vertical="center" wrapText="1"/>
    </xf>
    <xf numFmtId="207" fontId="120" fillId="55" borderId="28" xfId="0" applyNumberFormat="1" applyFont="1" applyFill="1" applyBorder="1" applyAlignment="1">
      <alignment horizontal="center" vertical="center" wrapText="1"/>
    </xf>
    <xf numFmtId="10" fontId="120" fillId="55" borderId="28" xfId="22" applyNumberFormat="1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69" borderId="28" xfId="0" applyNumberFormat="1" applyFont="1" applyFill="1" applyBorder="1" applyAlignment="1">
      <alignment horizontal="center" vertical="center" wrapText="1"/>
    </xf>
    <xf numFmtId="0" fontId="119" fillId="0" borderId="28" xfId="0" applyNumberFormat="1" applyFont="1" applyFill="1" applyBorder="1" applyAlignment="1">
      <alignment horizontal="center" vertical="center" wrapText="1"/>
    </xf>
    <xf numFmtId="204" fontId="6" fillId="0" borderId="28" xfId="0" applyNumberFormat="1" applyFont="1" applyFill="1" applyBorder="1" applyAlignment="1">
      <alignment horizontal="right" vertical="center" wrapText="1"/>
    </xf>
    <xf numFmtId="0" fontId="120" fillId="55" borderId="30" xfId="0" applyNumberFormat="1" applyFont="1" applyFill="1" applyBorder="1" applyAlignment="1">
      <alignment horizontal="right" vertical="center" wrapText="1"/>
    </xf>
    <xf numFmtId="0" fontId="120" fillId="55" borderId="30" xfId="0" applyFont="1" applyFill="1" applyBorder="1" applyAlignment="1">
      <alignment horizontal="right" vertical="center" wrapText="1"/>
    </xf>
    <xf numFmtId="0" fontId="120" fillId="55" borderId="28" xfId="0" applyNumberFormat="1" applyFont="1" applyFill="1" applyBorder="1" applyAlignment="1">
      <alignment horizontal="right" vertical="center" wrapText="1"/>
    </xf>
    <xf numFmtId="10" fontId="120" fillId="55" borderId="60" xfId="22" applyNumberFormat="1" applyFont="1" applyFill="1" applyBorder="1" applyAlignment="1">
      <alignment horizontal="left" vertical="center" wrapText="1"/>
    </xf>
    <xf numFmtId="207" fontId="120" fillId="55" borderId="30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119" fillId="0" borderId="0" xfId="0" applyNumberFormat="1" applyFont="1" applyFill="1" applyBorder="1" applyAlignment="1">
      <alignment horizontal="left" vertical="top" wrapText="1"/>
    </xf>
    <xf numFmtId="179" fontId="6" fillId="0" borderId="0" xfId="15" applyFont="1" applyBorder="1" applyAlignment="1">
      <alignment wrapText="1"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4" fontId="6" fillId="0" borderId="0" xfId="15" applyNumberFormat="1" applyFont="1" applyBorder="1" applyAlignment="1">
      <alignment wrapText="1"/>
    </xf>
    <xf numFmtId="4" fontId="6" fillId="0" borderId="0" xfId="15" applyNumberFormat="1" applyFont="1" applyBorder="1" applyAlignment="1">
      <alignment horizontal="right" wrapText="1"/>
    </xf>
    <xf numFmtId="0" fontId="0" fillId="0" borderId="0" xfId="0" applyAlignment="1">
      <alignment/>
    </xf>
    <xf numFmtId="0" fontId="7" fillId="62" borderId="35" xfId="0" applyFont="1" applyFill="1" applyBorder="1" applyAlignment="1">
      <alignment horizontal="center" vertical="center" wrapText="1"/>
    </xf>
    <xf numFmtId="0" fontId="7" fillId="62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62" borderId="35" xfId="0" applyFont="1" applyFill="1" applyBorder="1" applyAlignment="1">
      <alignment horizontal="center" vertical="center" wrapText="1"/>
    </xf>
    <xf numFmtId="0" fontId="7" fillId="62" borderId="36" xfId="0" applyFont="1" applyFill="1" applyBorder="1" applyAlignment="1">
      <alignment horizontal="center" vertical="center" wrapText="1"/>
    </xf>
    <xf numFmtId="0" fontId="7" fillId="62" borderId="37" xfId="0" applyFont="1" applyFill="1" applyBorder="1" applyAlignment="1">
      <alignment horizontal="center" vertical="center" wrapText="1"/>
    </xf>
    <xf numFmtId="0" fontId="7" fillId="62" borderId="32" xfId="0" applyFont="1" applyFill="1" applyBorder="1" applyAlignment="1">
      <alignment horizontal="center" vertical="center" wrapText="1"/>
    </xf>
    <xf numFmtId="0" fontId="7" fillId="62" borderId="33" xfId="0" applyFont="1" applyFill="1" applyBorder="1" applyAlignment="1">
      <alignment horizontal="center" vertical="center" wrapText="1"/>
    </xf>
    <xf numFmtId="0" fontId="7" fillId="62" borderId="34" xfId="0" applyFont="1" applyFill="1" applyBorder="1" applyAlignment="1">
      <alignment horizontal="center" vertical="center" wrapText="1"/>
    </xf>
    <xf numFmtId="0" fontId="7" fillId="67" borderId="30" xfId="0" applyFont="1" applyFill="1" applyBorder="1" applyAlignment="1">
      <alignment horizontal="center" vertical="center" wrapText="1"/>
    </xf>
    <xf numFmtId="4" fontId="7" fillId="67" borderId="24" xfId="15" applyNumberFormat="1" applyFont="1" applyFill="1" applyBorder="1" applyAlignment="1">
      <alignment horizontal="center" vertical="center" wrapText="1"/>
    </xf>
    <xf numFmtId="4" fontId="7" fillId="67" borderId="25" xfId="15" applyNumberFormat="1" applyFont="1" applyFill="1" applyBorder="1" applyAlignment="1">
      <alignment horizontal="center" vertical="center" wrapText="1"/>
    </xf>
    <xf numFmtId="4" fontId="7" fillId="67" borderId="29" xfId="15" applyNumberFormat="1" applyFont="1" applyFill="1" applyBorder="1" applyAlignment="1">
      <alignment horizontal="center" vertical="center" wrapText="1"/>
    </xf>
    <xf numFmtId="0" fontId="7" fillId="67" borderId="31" xfId="0" applyFont="1" applyFill="1" applyBorder="1" applyAlignment="1">
      <alignment horizontal="center" vertical="center" wrapText="1"/>
    </xf>
    <xf numFmtId="4" fontId="7" fillId="67" borderId="30" xfId="15" applyNumberFormat="1" applyFont="1" applyFill="1" applyBorder="1" applyAlignment="1">
      <alignment horizontal="center" vertical="center" wrapText="1"/>
    </xf>
    <xf numFmtId="0" fontId="119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20" fillId="55" borderId="24" xfId="0" applyFont="1" applyFill="1" applyBorder="1" applyAlignment="1">
      <alignment horizontal="right" vertical="center" wrapText="1"/>
    </xf>
    <xf numFmtId="0" fontId="120" fillId="55" borderId="25" xfId="0" applyFont="1" applyFill="1" applyBorder="1" applyAlignment="1">
      <alignment horizontal="right" vertical="center" wrapText="1"/>
    </xf>
    <xf numFmtId="0" fontId="120" fillId="55" borderId="29" xfId="0" applyFont="1" applyFill="1" applyBorder="1" applyAlignment="1">
      <alignment horizontal="right" vertical="center" wrapText="1"/>
    </xf>
    <xf numFmtId="207" fontId="120" fillId="55" borderId="24" xfId="0" applyNumberFormat="1" applyFont="1" applyFill="1" applyBorder="1" applyAlignment="1">
      <alignment horizontal="center" vertical="center" wrapText="1"/>
    </xf>
    <xf numFmtId="207" fontId="120" fillId="55" borderId="29" xfId="0" applyNumberFormat="1" applyFont="1" applyFill="1" applyBorder="1" applyAlignment="1">
      <alignment horizontal="center" vertical="center" wrapText="1"/>
    </xf>
    <xf numFmtId="10" fontId="120" fillId="55" borderId="29" xfId="22" applyNumberFormat="1" applyFont="1" applyFill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19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9" fillId="0" borderId="0" xfId="0" applyFont="1" applyBorder="1" applyAlignment="1">
      <alignment horizontal="center" vertical="top" wrapText="1"/>
    </xf>
    <xf numFmtId="0" fontId="119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62" borderId="28" xfId="0" applyFont="1" applyFill="1" applyBorder="1" applyAlignment="1">
      <alignment horizontal="right" vertical="center"/>
    </xf>
    <xf numFmtId="0" fontId="6" fillId="67" borderId="28" xfId="0" applyFont="1" applyFill="1" applyBorder="1" applyAlignment="1">
      <alignment horizontal="center" vertical="center"/>
    </xf>
    <xf numFmtId="0" fontId="6" fillId="67" borderId="28" xfId="0" applyFont="1" applyFill="1" applyBorder="1" applyAlignment="1">
      <alignment horizontal="center" vertical="center" wrapText="1"/>
    </xf>
    <xf numFmtId="4" fontId="6" fillId="67" borderId="28" xfId="15" applyNumberFormat="1" applyFont="1" applyFill="1" applyBorder="1" applyAlignment="1">
      <alignment horizontal="center" vertical="center"/>
    </xf>
    <xf numFmtId="4" fontId="6" fillId="67" borderId="28" xfId="0" applyNumberFormat="1" applyFont="1" applyFill="1" applyBorder="1" applyAlignment="1">
      <alignment horizontal="center" vertical="top"/>
    </xf>
    <xf numFmtId="2" fontId="6" fillId="69" borderId="28" xfId="0" applyNumberFormat="1" applyFont="1" applyFill="1" applyBorder="1" applyAlignment="1">
      <alignment vertical="center"/>
    </xf>
    <xf numFmtId="4" fontId="7" fillId="55" borderId="28" xfId="0" applyNumberFormat="1" applyFont="1" applyFill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204" fontId="6" fillId="0" borderId="28" xfId="0" applyNumberFormat="1" applyFont="1" applyBorder="1" applyAlignment="1">
      <alignment horizontal="right" vertical="center"/>
    </xf>
    <xf numFmtId="10" fontId="120" fillId="55" borderId="28" xfId="22" applyNumberFormat="1" applyFont="1" applyFill="1" applyBorder="1" applyAlignment="1">
      <alignment horizontal="left" vertical="center"/>
    </xf>
    <xf numFmtId="4" fontId="6" fillId="67" borderId="28" xfId="15" applyNumberFormat="1" applyFont="1" applyFill="1" applyBorder="1" applyAlignment="1">
      <alignment horizontal="center" vertical="center" wrapText="1"/>
    </xf>
    <xf numFmtId="4" fontId="6" fillId="67" borderId="28" xfId="0" applyNumberFormat="1" applyFont="1" applyFill="1" applyBorder="1" applyAlignment="1">
      <alignment horizontal="center" vertical="top" wrapText="1"/>
    </xf>
    <xf numFmtId="2" fontId="6" fillId="69" borderId="28" xfId="0" applyNumberFormat="1" applyFont="1" applyFill="1" applyBorder="1" applyAlignment="1">
      <alignment horizontal="center" vertical="center" wrapText="1"/>
    </xf>
    <xf numFmtId="4" fontId="7" fillId="55" borderId="28" xfId="0" applyNumberFormat="1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7" fillId="56" borderId="28" xfId="0" applyFont="1" applyFill="1" applyBorder="1" applyAlignment="1">
      <alignment horizontal="center" vertical="center" wrapText="1"/>
    </xf>
    <xf numFmtId="0" fontId="7" fillId="56" borderId="28" xfId="0" applyFont="1" applyFill="1" applyBorder="1" applyAlignment="1">
      <alignment horizontal="left" vertical="center" wrapText="1"/>
    </xf>
    <xf numFmtId="2" fontId="6" fillId="56" borderId="28" xfId="0" applyNumberFormat="1" applyFont="1" applyFill="1" applyBorder="1" applyAlignment="1">
      <alignment horizontal="center" vertical="center" wrapText="1"/>
    </xf>
    <xf numFmtId="4" fontId="7" fillId="56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204" fontId="6" fillId="0" borderId="28" xfId="0" applyNumberFormat="1" applyFont="1" applyBorder="1" applyAlignment="1">
      <alignment horizontal="center" vertical="center" wrapText="1"/>
    </xf>
    <xf numFmtId="10" fontId="120" fillId="55" borderId="28" xfId="22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26" fillId="0" borderId="0" xfId="0" applyFont="1" applyBorder="1" applyAlignment="1">
      <alignment/>
    </xf>
    <xf numFmtId="179" fontId="19" fillId="0" borderId="0" xfId="15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4" fontId="6" fillId="0" borderId="0" xfId="15" applyNumberFormat="1" applyFont="1" applyBorder="1" applyAlignment="1">
      <alignment horizontal="center"/>
    </xf>
    <xf numFmtId="4" fontId="6" fillId="0" borderId="0" xfId="15" applyNumberFormat="1" applyFont="1" applyBorder="1" applyAlignment="1">
      <alignment horizontal="center"/>
    </xf>
    <xf numFmtId="208" fontId="19" fillId="0" borderId="0" xfId="15" applyNumberFormat="1" applyFont="1" applyBorder="1" applyAlignment="1">
      <alignment horizontal="center"/>
    </xf>
    <xf numFmtId="0" fontId="7" fillId="62" borderId="28" xfId="0" applyFont="1" applyFill="1" applyBorder="1" applyAlignment="1">
      <alignment horizontal="center" vertical="center"/>
    </xf>
    <xf numFmtId="0" fontId="7" fillId="62" borderId="28" xfId="0" applyFont="1" applyFill="1" applyBorder="1" applyAlignment="1">
      <alignment horizontal="left" vertical="center" wrapText="1"/>
    </xf>
    <xf numFmtId="0" fontId="19" fillId="0" borderId="0" xfId="15" applyNumberFormat="1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179" fontId="19" fillId="0" borderId="0" xfId="15" applyFont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67" borderId="28" xfId="0" applyFont="1" applyFill="1" applyBorder="1" applyAlignment="1">
      <alignment horizontal="left" vertical="center" wrapText="1"/>
    </xf>
    <xf numFmtId="179" fontId="20" fillId="0" borderId="0" xfId="15" applyFont="1" applyBorder="1" applyAlignment="1">
      <alignment horizontal="center"/>
    </xf>
    <xf numFmtId="0" fontId="6" fillId="67" borderId="28" xfId="0" applyFont="1" applyFill="1" applyBorder="1" applyAlignment="1">
      <alignment horizontal="left" vertical="center" wrapText="1"/>
    </xf>
    <xf numFmtId="179" fontId="21" fillId="0" borderId="0" xfId="15" applyFont="1" applyBorder="1" applyAlignment="1">
      <alignment horizontal="center"/>
    </xf>
    <xf numFmtId="0" fontId="6" fillId="69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180" fontId="20" fillId="0" borderId="0" xfId="15" applyNumberFormat="1" applyFont="1" applyBorder="1" applyAlignment="1">
      <alignment horizontal="center"/>
    </xf>
    <xf numFmtId="204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119" fillId="0" borderId="28" xfId="0" applyNumberFormat="1" applyFont="1" applyFill="1" applyBorder="1" applyAlignment="1">
      <alignment horizontal="center" vertical="center"/>
    </xf>
    <xf numFmtId="0" fontId="120" fillId="0" borderId="28" xfId="0" applyFont="1" applyFill="1" applyBorder="1" applyAlignment="1">
      <alignment horizontal="center" vertical="center"/>
    </xf>
    <xf numFmtId="0" fontId="120" fillId="0" borderId="28" xfId="0" applyFont="1" applyFill="1" applyBorder="1" applyAlignment="1">
      <alignment horizontal="left" vertical="center" wrapText="1"/>
    </xf>
    <xf numFmtId="0" fontId="119" fillId="0" borderId="28" xfId="0" applyFont="1" applyFill="1" applyBorder="1" applyAlignment="1">
      <alignment horizontal="center" vertical="center"/>
    </xf>
    <xf numFmtId="204" fontId="119" fillId="0" borderId="28" xfId="0" applyNumberFormat="1" applyFont="1" applyFill="1" applyBorder="1" applyAlignment="1">
      <alignment horizontal="center" vertical="center"/>
    </xf>
    <xf numFmtId="4" fontId="119" fillId="0" borderId="28" xfId="0" applyNumberFormat="1" applyFont="1" applyFill="1" applyBorder="1" applyAlignment="1">
      <alignment horizontal="center" vertical="center"/>
    </xf>
    <xf numFmtId="180" fontId="126" fillId="0" borderId="0" xfId="15" applyNumberFormat="1" applyFont="1" applyBorder="1" applyAlignment="1">
      <alignment horizontal="center"/>
    </xf>
    <xf numFmtId="2" fontId="119" fillId="0" borderId="28" xfId="0" applyNumberFormat="1" applyFont="1" applyFill="1" applyBorder="1" applyAlignment="1">
      <alignment horizontal="center" vertical="center"/>
    </xf>
    <xf numFmtId="209" fontId="19" fillId="0" borderId="0" xfId="15" applyNumberFormat="1" applyFont="1" applyBorder="1" applyAlignment="1">
      <alignment/>
    </xf>
    <xf numFmtId="179" fontId="20" fillId="0" borderId="0" xfId="15" applyFont="1" applyBorder="1" applyAlignment="1">
      <alignment/>
    </xf>
    <xf numFmtId="180" fontId="19" fillId="0" borderId="0" xfId="0" applyNumberFormat="1" applyFont="1" applyBorder="1" applyAlignment="1">
      <alignment/>
    </xf>
    <xf numFmtId="180" fontId="126" fillId="0" borderId="0" xfId="0" applyNumberFormat="1" applyFont="1" applyBorder="1" applyAlignment="1">
      <alignment/>
    </xf>
    <xf numFmtId="0" fontId="6" fillId="0" borderId="28" xfId="0" applyFont="1" applyBorder="1" applyAlignment="1">
      <alignment horizontal="left" vertical="top" wrapText="1"/>
    </xf>
    <xf numFmtId="2" fontId="6" fillId="0" borderId="28" xfId="15" applyNumberFormat="1" applyFont="1" applyBorder="1" applyAlignment="1">
      <alignment horizontal="center" vertical="center"/>
    </xf>
    <xf numFmtId="4" fontId="6" fillId="0" borderId="28" xfId="15" applyNumberFormat="1" applyFont="1" applyBorder="1" applyAlignment="1">
      <alignment horizontal="center" vertical="center"/>
    </xf>
    <xf numFmtId="208" fontId="19" fillId="0" borderId="0" xfId="15" applyNumberFormat="1" applyFont="1" applyAlignment="1">
      <alignment horizontal="center"/>
    </xf>
    <xf numFmtId="180" fontId="19" fillId="0" borderId="0" xfId="15" applyNumberFormat="1" applyFont="1" applyAlignment="1">
      <alignment horizontal="center"/>
    </xf>
    <xf numFmtId="210" fontId="6" fillId="0" borderId="28" xfId="22" applyNumberFormat="1" applyFont="1" applyFill="1" applyBorder="1" applyAlignment="1">
      <alignment horizontal="center" vertical="center"/>
    </xf>
    <xf numFmtId="0" fontId="120" fillId="55" borderId="26" xfId="0" applyNumberFormat="1" applyFont="1" applyFill="1" applyBorder="1" applyAlignment="1">
      <alignment horizontal="right" vertical="center"/>
    </xf>
    <xf numFmtId="0" fontId="120" fillId="55" borderId="27" xfId="0" applyNumberFormat="1" applyFont="1" applyFill="1" applyBorder="1" applyAlignment="1">
      <alignment horizontal="right" vertical="center"/>
    </xf>
    <xf numFmtId="0" fontId="120" fillId="55" borderId="29" xfId="0" applyNumberFormat="1" applyFont="1" applyFill="1" applyBorder="1" applyAlignment="1">
      <alignment horizontal="right" vertical="center"/>
    </xf>
    <xf numFmtId="207" fontId="120" fillId="55" borderId="26" xfId="0" applyNumberFormat="1" applyFont="1" applyFill="1" applyBorder="1" applyAlignment="1">
      <alignment horizontal="center" vertical="center"/>
    </xf>
    <xf numFmtId="207" fontId="120" fillId="55" borderId="29" xfId="0" applyNumberFormat="1" applyFont="1" applyFill="1" applyBorder="1" applyAlignment="1">
      <alignment horizontal="center" vertical="center"/>
    </xf>
    <xf numFmtId="2" fontId="70" fillId="0" borderId="0" xfId="0" applyNumberFormat="1" applyFont="1" applyFill="1" applyBorder="1" applyAlignment="1">
      <alignment vertical="center"/>
    </xf>
    <xf numFmtId="211" fontId="70" fillId="0" borderId="0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179" fontId="6" fillId="0" borderId="0" xfId="15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209" fontId="6" fillId="0" borderId="0" xfId="15" applyNumberFormat="1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94" fontId="16" fillId="0" borderId="0" xfId="0" applyNumberFormat="1" applyFont="1" applyAlignment="1">
      <alignment horizontal="center"/>
    </xf>
    <xf numFmtId="0" fontId="7" fillId="62" borderId="26" xfId="0" applyFont="1" applyFill="1" applyBorder="1" applyAlignment="1">
      <alignment horizontal="center" wrapText="1"/>
    </xf>
    <xf numFmtId="0" fontId="7" fillId="62" borderId="27" xfId="0" applyFont="1" applyFill="1" applyBorder="1" applyAlignment="1">
      <alignment horizontal="center" wrapText="1"/>
    </xf>
    <xf numFmtId="0" fontId="7" fillId="62" borderId="29" xfId="0" applyFont="1" applyFill="1" applyBorder="1" applyAlignment="1">
      <alignment horizontal="center" wrapText="1"/>
    </xf>
    <xf numFmtId="194" fontId="7" fillId="62" borderId="28" xfId="0" applyNumberFormat="1" applyFont="1" applyFill="1" applyBorder="1" applyAlignment="1">
      <alignment horizontal="center" vertical="center"/>
    </xf>
    <xf numFmtId="0" fontId="7" fillId="58" borderId="28" xfId="0" applyFont="1" applyFill="1" applyBorder="1" applyAlignment="1">
      <alignment horizontal="left" vertical="center"/>
    </xf>
    <xf numFmtId="194" fontId="6" fillId="58" borderId="28" xfId="0" applyNumberFormat="1" applyFont="1" applyFill="1" applyBorder="1" applyAlignment="1">
      <alignment horizontal="center"/>
    </xf>
    <xf numFmtId="10" fontId="6" fillId="0" borderId="28" xfId="22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 quotePrefix="1">
      <alignment horizontal="center" wrapText="1"/>
    </xf>
    <xf numFmtId="0" fontId="9" fillId="0" borderId="50" xfId="111" applyFont="1" applyFill="1" applyBorder="1" applyAlignment="1" applyProtection="1" quotePrefix="1">
      <alignment horizontal="center" wrapText="1"/>
      <protection/>
    </xf>
  </cellXfs>
  <cellStyles count="281">
    <cellStyle name="Normal" xfId="0"/>
    <cellStyle name="Comma" xfId="15"/>
    <cellStyle name="sub-total 2" xfId="16"/>
    <cellStyle name="Comma [0]" xfId="17"/>
    <cellStyle name="Incorreto 4" xfId="18"/>
    <cellStyle name="Estilo 1" xfId="19"/>
    <cellStyle name="Ênfase3 3" xfId="20"/>
    <cellStyle name="40% - Ênfase 4" xfId="21"/>
    <cellStyle name="Percent" xfId="22"/>
    <cellStyle name="Célula Vinculada" xfId="23"/>
    <cellStyle name="Vírgula 7" xfId="24"/>
    <cellStyle name="Célula de Verificação" xfId="25"/>
    <cellStyle name="Cálculo 2" xfId="26"/>
    <cellStyle name="Currency [0]" xfId="27"/>
    <cellStyle name="20% - Ênfase 3" xfId="28"/>
    <cellStyle name="Normal 3 2" xfId="29"/>
    <cellStyle name="20% - Ênfase6 1" xfId="30"/>
    <cellStyle name="Currency" xfId="31"/>
    <cellStyle name="Followed Hyperlink" xfId="32"/>
    <cellStyle name="Hyperlink" xfId="33"/>
    <cellStyle name="Observação" xfId="34"/>
    <cellStyle name="40% - Ênfase 2" xfId="35"/>
    <cellStyle name="Título 1 5" xfId="36"/>
    <cellStyle name="60% - Ênfase1 3" xfId="37"/>
    <cellStyle name="40% - Ênfase 6" xfId="38"/>
    <cellStyle name="Célula de Verificação 2" xfId="39"/>
    <cellStyle name="Texto de Aviso" xfId="40"/>
    <cellStyle name="Título" xfId="41"/>
    <cellStyle name="Texto Explicativo" xfId="42"/>
    <cellStyle name="20% - Ênfase1 2" xfId="43"/>
    <cellStyle name="Título 1" xfId="44"/>
    <cellStyle name="Ênfase 3" xfId="45"/>
    <cellStyle name="0.0" xfId="46"/>
    <cellStyle name="20% - Ênfase1 3" xfId="47"/>
    <cellStyle name="Título 2" xfId="48"/>
    <cellStyle name="Ênfase 4" xfId="49"/>
    <cellStyle name="20% - Ênfase1 4" xfId="50"/>
    <cellStyle name="Título 3" xfId="51"/>
    <cellStyle name="Ênfase 5" xfId="52"/>
    <cellStyle name="Título 4" xfId="53"/>
    <cellStyle name="Ênfase 6" xfId="54"/>
    <cellStyle name="Entrada" xfId="55"/>
    <cellStyle name="Saída" xfId="56"/>
    <cellStyle name="20% - Ênfase1 12" xfId="57"/>
    <cellStyle name="Cálculo" xfId="58"/>
    <cellStyle name="sub-total 1" xfId="59"/>
    <cellStyle name="Total" xfId="60"/>
    <cellStyle name="Título 1 4" xfId="61"/>
    <cellStyle name="60% - Ênfase1 2" xfId="62"/>
    <cellStyle name="40% - Ênfase 1" xfId="63"/>
    <cellStyle name="Texto de Aviso 3" xfId="64"/>
    <cellStyle name="Numero" xfId="65"/>
    <cellStyle name="Bom" xfId="66"/>
    <cellStyle name="Ruim" xfId="67"/>
    <cellStyle name="Normal 10 3" xfId="68"/>
    <cellStyle name="Neutro" xfId="69"/>
    <cellStyle name="Normal 3 4" xfId="70"/>
    <cellStyle name="20% - Ênfase6 3" xfId="71"/>
    <cellStyle name="20% - Ênfase 5" xfId="72"/>
    <cellStyle name="Ênfase 1" xfId="73"/>
    <cellStyle name="20% - Ênfase 1" xfId="74"/>
    <cellStyle name="60% - Ênfase 1" xfId="75"/>
    <cellStyle name="Normal 3 5" xfId="76"/>
    <cellStyle name="20% - Ênfase6 4" xfId="77"/>
    <cellStyle name="20% - Ênfase 6" xfId="78"/>
    <cellStyle name="Ênfase 2" xfId="79"/>
    <cellStyle name="20% - Ênfase 2" xfId="80"/>
    <cellStyle name="60% - Ênfase 2" xfId="81"/>
    <cellStyle name="60% - Ênfase1 4" xfId="82"/>
    <cellStyle name="40% - Ênfase 3" xfId="83"/>
    <cellStyle name="60% - Ênfase 3" xfId="84"/>
    <cellStyle name="Normal 3 3" xfId="85"/>
    <cellStyle name="20% - Ênfase6 2" xfId="86"/>
    <cellStyle name="20% - Ênfase 4" xfId="87"/>
    <cellStyle name="60% - Ênfase 4" xfId="88"/>
    <cellStyle name="Célula de Verificação 1" xfId="89"/>
    <cellStyle name="40% - Ênfase 5" xfId="90"/>
    <cellStyle name="60% - Ênfase 5" xfId="91"/>
    <cellStyle name="Ênfase1 1" xfId="92"/>
    <cellStyle name="60% - Ênfase 6" xfId="93"/>
    <cellStyle name="Porcentagem 4" xfId="94"/>
    <cellStyle name="20% - Ênfase3 3" xfId="95"/>
    <cellStyle name="20% - Ênfase1 1" xfId="96"/>
    <cellStyle name="60% - Ênfase6 4" xfId="97"/>
    <cellStyle name="0,00###" xfId="98"/>
    <cellStyle name="Result" xfId="99"/>
    <cellStyle name="0,00### 2" xfId="100"/>
    <cellStyle name="20% - Ênfase2 1" xfId="101"/>
    <cellStyle name="Normal 19" xfId="102"/>
    <cellStyle name="20% - Ênfase2 2" xfId="103"/>
    <cellStyle name="Título 1 1 1" xfId="104"/>
    <cellStyle name="20% - Ênfase2 3" xfId="105"/>
    <cellStyle name="Título 1 1 2" xfId="106"/>
    <cellStyle name="20% - Ênfase2 4" xfId="107"/>
    <cellStyle name="Porcentagem 2" xfId="108"/>
    <cellStyle name="20% - Ênfase3 1" xfId="109"/>
    <cellStyle name="Porcentagem 3" xfId="110"/>
    <cellStyle name="Normal 2 10" xfId="111"/>
    <cellStyle name="20% - Ênfase3 2" xfId="112"/>
    <cellStyle name="Porcentagem 5" xfId="113"/>
    <cellStyle name="20% - Ênfase3 4" xfId="114"/>
    <cellStyle name="20% - Ênfase4 1" xfId="115"/>
    <cellStyle name="Result2" xfId="116"/>
    <cellStyle name="20% - Ênfase4 2" xfId="117"/>
    <cellStyle name="20% - Ênfase4 3" xfId="118"/>
    <cellStyle name="Excel Built-in Hyperlink" xfId="119"/>
    <cellStyle name="20% - Ênfase4 4" xfId="120"/>
    <cellStyle name="Normal 2 2" xfId="121"/>
    <cellStyle name="20% - Ênfase5 1" xfId="122"/>
    <cellStyle name="Normal 2 3" xfId="123"/>
    <cellStyle name="20% - Ênfase5 2" xfId="124"/>
    <cellStyle name="20% - Ênfase5 3" xfId="125"/>
    <cellStyle name="20% - Ênfase5 4" xfId="126"/>
    <cellStyle name="40% - Ênfase1 1" xfId="127"/>
    <cellStyle name="40% - Ênfase1 2" xfId="128"/>
    <cellStyle name="Título 3 1" xfId="129"/>
    <cellStyle name="Separador de milhares 2" xfId="130"/>
    <cellStyle name="40% - Ênfase1 3" xfId="131"/>
    <cellStyle name="Título 3 2" xfId="132"/>
    <cellStyle name="40% - Ênfase1 4" xfId="133"/>
    <cellStyle name="40% - Ênfase2 1" xfId="134"/>
    <cellStyle name="Título 1 1 1 1" xfId="135"/>
    <cellStyle name="40% - Ênfase2 2" xfId="136"/>
    <cellStyle name="Título 4 1" xfId="137"/>
    <cellStyle name="40% - Ênfase2 3" xfId="138"/>
    <cellStyle name="Título 4 2" xfId="139"/>
    <cellStyle name="sub-total" xfId="140"/>
    <cellStyle name="40% - Ênfase2 4" xfId="141"/>
    <cellStyle name="40% - Ênfase3 1" xfId="142"/>
    <cellStyle name="40% - Ênfase3 2" xfId="143"/>
    <cellStyle name="40% - Ênfase3 3" xfId="144"/>
    <cellStyle name="40% - Ênfase3 4" xfId="145"/>
    <cellStyle name="Título 1 1 3" xfId="146"/>
    <cellStyle name="40% - Ênfase4 1" xfId="147"/>
    <cellStyle name="Título 1 1 4" xfId="148"/>
    <cellStyle name="40% - Ênfase4 2" xfId="149"/>
    <cellStyle name="40% - Ênfase4 3" xfId="150"/>
    <cellStyle name="ConditionalStyle_1" xfId="151"/>
    <cellStyle name="40% - Ênfase4 4" xfId="152"/>
    <cellStyle name="40% - Ênfase5 1" xfId="153"/>
    <cellStyle name="40% - Ênfase5 2" xfId="154"/>
    <cellStyle name="40% - Ênfase5 3" xfId="155"/>
    <cellStyle name="40% - Ênfase5 4" xfId="156"/>
    <cellStyle name="40% - Ênfase6 1" xfId="157"/>
    <cellStyle name="40% - Ênfase6 2" xfId="158"/>
    <cellStyle name="40% - Ênfase6 3" xfId="159"/>
    <cellStyle name="40% - Ênfase6 4" xfId="160"/>
    <cellStyle name="Título 1 3" xfId="161"/>
    <cellStyle name="60% - Ênfase1 1" xfId="162"/>
    <cellStyle name="Título 2 3" xfId="163"/>
    <cellStyle name="60% - Ênfase2 1" xfId="164"/>
    <cellStyle name="Título 2 4" xfId="165"/>
    <cellStyle name="60% - Ênfase2 2" xfId="166"/>
    <cellStyle name="Neutra 1" xfId="167"/>
    <cellStyle name="60% - Ênfase2 3" xfId="168"/>
    <cellStyle name="Neutra 2" xfId="169"/>
    <cellStyle name="Heading1" xfId="170"/>
    <cellStyle name="60% - Ênfase2 4" xfId="171"/>
    <cellStyle name="Título 3 3" xfId="172"/>
    <cellStyle name="60% - Ênfase3 1" xfId="173"/>
    <cellStyle name="Título 3 4" xfId="174"/>
    <cellStyle name="60% - Ênfase3 2" xfId="175"/>
    <cellStyle name="60% - Ênfase3 3" xfId="176"/>
    <cellStyle name="60% - Ênfase3 4" xfId="177"/>
    <cellStyle name="Título 4 3" xfId="178"/>
    <cellStyle name="60% - Ênfase4 1" xfId="179"/>
    <cellStyle name="Título 4 4" xfId="180"/>
    <cellStyle name="60% - Ênfase4 2" xfId="181"/>
    <cellStyle name="60% - Ênfase4 3" xfId="182"/>
    <cellStyle name="60% - Ênfase4 4" xfId="183"/>
    <cellStyle name="60% - Ênfase5 1" xfId="184"/>
    <cellStyle name="60% - Ênfase5 2" xfId="185"/>
    <cellStyle name="60% - Ênfase5 3" xfId="186"/>
    <cellStyle name="60% - Ênfase5 4" xfId="187"/>
    <cellStyle name="60% - Ênfase6 1" xfId="188"/>
    <cellStyle name="60% - Ênfase6 2" xfId="189"/>
    <cellStyle name="60% - Ênfase6 3" xfId="190"/>
    <cellStyle name="Bom 1" xfId="191"/>
    <cellStyle name="Bom 2" xfId="192"/>
    <cellStyle name="Bom 3" xfId="193"/>
    <cellStyle name="Bom 4" xfId="194"/>
    <cellStyle name="Cálculo 1" xfId="195"/>
    <cellStyle name="Cálculo 3" xfId="196"/>
    <cellStyle name="Cálculo 4" xfId="197"/>
    <cellStyle name="Célula de Verificação 3" xfId="198"/>
    <cellStyle name="Célula de Verificação 4" xfId="199"/>
    <cellStyle name="Célula Vinculada 1" xfId="200"/>
    <cellStyle name="Normal 2" xfId="201"/>
    <cellStyle name="Célula Vinculada 2" xfId="202"/>
    <cellStyle name="Normal 3" xfId="203"/>
    <cellStyle name="Célula Vinculada 3" xfId="204"/>
    <cellStyle name="Normal 4" xfId="205"/>
    <cellStyle name="Célula Vinculada 4" xfId="206"/>
    <cellStyle name="Ênfase1 2" xfId="207"/>
    <cellStyle name="Ênfase1 3" xfId="208"/>
    <cellStyle name="Ênfase1 4" xfId="209"/>
    <cellStyle name="Ênfase2 1" xfId="210"/>
    <cellStyle name="Ênfase2 2" xfId="211"/>
    <cellStyle name="Ênfase2 3" xfId="212"/>
    <cellStyle name="Ênfase2 4" xfId="213"/>
    <cellStyle name="Incorreto 2" xfId="214"/>
    <cellStyle name="Ênfase3 1" xfId="215"/>
    <cellStyle name="Incorreto 3" xfId="216"/>
    <cellStyle name="Ênfase3 2" xfId="217"/>
    <cellStyle name="Ênfase3 4" xfId="218"/>
    <cellStyle name="Ênfase4 1" xfId="219"/>
    <cellStyle name="Ênfase4 2" xfId="220"/>
    <cellStyle name="Ênfase4 3" xfId="221"/>
    <cellStyle name="Ênfase4 4" xfId="222"/>
    <cellStyle name="Ênfase5 1" xfId="223"/>
    <cellStyle name="Ênfase5 2" xfId="224"/>
    <cellStyle name="Ênfase5 3" xfId="225"/>
    <cellStyle name="Ênfase5 4" xfId="226"/>
    <cellStyle name="Ênfase6 1" xfId="227"/>
    <cellStyle name="Ênfase6 2" xfId="228"/>
    <cellStyle name="Ênfase6 3" xfId="229"/>
    <cellStyle name="Ênfase6 4" xfId="230"/>
    <cellStyle name="Entrada 1" xfId="231"/>
    <cellStyle name="Entrada 2" xfId="232"/>
    <cellStyle name="Entrada 3" xfId="233"/>
    <cellStyle name="Entrada 4" xfId="234"/>
    <cellStyle name="Euro" xfId="235"/>
    <cellStyle name="Euro 2" xfId="236"/>
    <cellStyle name="Título 5" xfId="237"/>
    <cellStyle name="Excel Built-in Comma" xfId="238"/>
    <cellStyle name="Excel Built-in Currency" xfId="239"/>
    <cellStyle name="Excel_BuiltIn_20% - Ênfase1" xfId="240"/>
    <cellStyle name="Excel Built-in Normal" xfId="241"/>
    <cellStyle name="Heading" xfId="242"/>
    <cellStyle name="Incorreto 1" xfId="243"/>
    <cellStyle name="Moeda 2" xfId="244"/>
    <cellStyle name="Neutra 3" xfId="245"/>
    <cellStyle name="Neutra 4" xfId="246"/>
    <cellStyle name="Normal 10" xfId="247"/>
    <cellStyle name="Normal 10 2" xfId="248"/>
    <cellStyle name="Normal 11" xfId="249"/>
    <cellStyle name="Normal 11 2" xfId="250"/>
    <cellStyle name="Normal 3 4 2" xfId="251"/>
    <cellStyle name="Separador de m" xfId="252"/>
    <cellStyle name="Normal 4 2" xfId="253"/>
    <cellStyle name="Normal 5" xfId="254"/>
    <cellStyle name="Nota 1" xfId="255"/>
    <cellStyle name="Normal 6" xfId="256"/>
    <cellStyle name="Nota 2" xfId="257"/>
    <cellStyle name="Normal 7" xfId="258"/>
    <cellStyle name="Nota 3" xfId="259"/>
    <cellStyle name="Normal 8" xfId="260"/>
    <cellStyle name="Nota 4" xfId="261"/>
    <cellStyle name="Normal 9" xfId="262"/>
    <cellStyle name="Normal_aPlanilha Orçamentária Modelo" xfId="263"/>
    <cellStyle name="Normal_Orçamento_Sinalização Viária" xfId="264"/>
    <cellStyle name="Porcentagem 2 10" xfId="265"/>
    <cellStyle name="Porcentagem 2 2" xfId="266"/>
    <cellStyle name="Saída 1" xfId="267"/>
    <cellStyle name="Saída 2" xfId="268"/>
    <cellStyle name="Saída 3" xfId="269"/>
    <cellStyle name="Saída 4" xfId="270"/>
    <cellStyle name="Separador de milhares 2 2" xfId="271"/>
    <cellStyle name="sub-total 3" xfId="272"/>
    <cellStyle name="sub-total 4" xfId="273"/>
    <cellStyle name="TableStyleLight1" xfId="274"/>
    <cellStyle name="TableStyleLight1 2" xfId="275"/>
    <cellStyle name="Texto de Aviso 1" xfId="276"/>
    <cellStyle name="Texto de Aviso 2" xfId="277"/>
    <cellStyle name="Texto de Aviso 4" xfId="278"/>
    <cellStyle name="Texto Explicativo 1" xfId="279"/>
    <cellStyle name="Texto Explicativo 2" xfId="280"/>
    <cellStyle name="Texto Explicativo 3" xfId="281"/>
    <cellStyle name="Texto Explicativo 4" xfId="282"/>
    <cellStyle name="Título 1 1" xfId="283"/>
    <cellStyle name="Título 1 1_ORÇ_CRECHE_CAUAMÉ_COMPOSIÇÃO" xfId="284"/>
    <cellStyle name="Título 1 2" xfId="285"/>
    <cellStyle name="Título 2 1" xfId="286"/>
    <cellStyle name="Título 2 2" xfId="287"/>
    <cellStyle name="Total 1" xfId="288"/>
    <cellStyle name="Total 2" xfId="289"/>
    <cellStyle name="Total 3" xfId="290"/>
    <cellStyle name="Total 4" xfId="291"/>
    <cellStyle name="Vírgula 2" xfId="292"/>
    <cellStyle name="Vírgula 3" xfId="293"/>
    <cellStyle name="Vírgula 4" xfId="29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d3\drive_d\GER_ORC\Processos_2001\Estados\SERGIPE\CRISTIN&#193;POLIS\SEDU%20MORAR%20MELHOR\REDE%20COLETORA,%20LIGA&#199;&#213;ES%20E%20FILTRO%20-%20606.000,00\Ordens%20de%20servi&#231;os%20para%20dimensionamento%20das%20alturas%20dos%20pvs-Bairro%20da%20Gra&#231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rcone\Documents\Obras\Obra_Nova\Licita&#231;&#245;es\2013\IFRR\IMPRIMIR\empreteiros\BRA\PB%2013%20Creche%20proinfancia%20tipo-B\Creche_Bairro%20Senador%20H&#233;lio%20Campos\CRECHE%20-%20Sen%20Helio%20Campos%20-%20VENDA%20N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ETEO\FISCALIZA&#199;&#195;O%20OBRAS\PROCESSOS%20FISCALIZ\CAMPUS%20CZO\23231%20000080%202013%2008%20CONSTR%20CZO%20etapa%201\ADITIVOS\Plan%20Aditivo%20e%20Memoria%20Cal\Plan%20Aditivo%20SEM%20capt%20CHUV%2010%2004%20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TEO%202015\CZO%202015\CZO%202015%20Aditivos\ADITIVOS%20Sem%20Capt%20CHUVA\Plan%20Aditivo%20e%20Memoria%20Cal\Premol_IFRR_OR&#199;-FINAL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ENGENHARIA\PROJETOS\AMAJARI\Or&#231;-Revisado%20&#193;gua%20espel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mou_S&#226;mia\SAMIA%20GARCIA\ASSENTAMENTO%20PRECARIO%20333%20CASAS\SEGUNDA%20REPROGRAMACAO%20ASSENTAMENTO%20PRECARIO%20333%20CASAS\REDE%20DE%20&#193;GUA\Or&#8225;amento-269.690-24%20ema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mou_S&#226;mia\SAMIA%20GARCIA\ASSENTAMENTO%20PRECARIO%20333%20CASAS\SEGUNDA%20REPROGRAMACAO%20ASSENTAMENTO%20PRECARIO%20333%20CASAS\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rcone\Documents\Obras\Obra_Nova\Licita&#231;&#245;es\2013\IFRR\Transporte%20-dm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helangelo\dados\Or&#231;amentos\Or&#231;amento%20Toulon\Funda&#231;&#227;o\TUBUL&#213;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guaribe\c\TEMP\Fabio\Campanario_agua\Campanario\Agua\Volume4e5\Memorial-Orcamneto\Orc_Automacao%20agu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Projeto%20Alvorada\Projeto%20B&#225;sico%20Croat&#225;\&#193;gua\quadros\Orca_Esgoto_Col&#244;nia%202a%20ETAP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Projeto%20Alvorada\Projeto%20B&#225;sico%20Croat&#225;\&#193;gua\Quantitativos\Or&#231;amento%20&#193;gua%20Croat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 01 - RUA E"/>
      <sheetName val="OS 01 - RUA C"/>
      <sheetName val="OS 01 - RUA D"/>
      <sheetName val="OS 01 - RUA I-1"/>
      <sheetName val="OS 01 - RUA I-2"/>
      <sheetName val="OS 01 - RUA  (2)"/>
      <sheetName val="OS 01 - RUA  (3)"/>
      <sheetName val="RESUMO"/>
      <sheetName val="LEVANTA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 "/>
      <sheetName val="CRONOGRAMA"/>
      <sheetName val="ENCARGOS SOCIAIS"/>
      <sheetName val="BDI"/>
      <sheetName val="COMPOSIÇÕ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ITIVOS_SUPRESSÕES"/>
      <sheetName val="COMPOSICÕES Propost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omposicoes"/>
      <sheetName val="CRONOGRAMA"/>
      <sheetName val="BDI"/>
      <sheetName val="ENCARGOS SOCIAIS "/>
      <sheetName val="ADITIV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. Gera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s"/>
      <sheetName val="Agua-Calc Rede"/>
      <sheetName val="Agua-Ligações"/>
      <sheetName val="Plan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s"/>
      <sheetName val="Agua-Calc Rede"/>
      <sheetName val="Agua-Ligações"/>
      <sheetName val="Plan1"/>
      <sheetName val="MEMORIAL DE CÁLCULO"/>
      <sheetName val="ORÇAMENTO  (base)"/>
      <sheetName val="COMPOSIÇÃO"/>
      <sheetName val="ORÇAMENTO  "/>
      <sheetName val="CRONOGRAM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COMPOSIÇÕES"/>
      <sheetName val="TRANSPORTE"/>
      <sheetName val="INSTALAÇÃO DA OBRA"/>
      <sheetName val="UNIDADE HABITACIONAL "/>
      <sheetName val="RESUMO"/>
      <sheetName val="CRONOGR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. FUND."/>
      <sheetName val="1.A-FUND-TUB"/>
      <sheetName val="1.A-FUND-TUB ELIP"/>
      <sheetName val="1.A-TUB.-CENT."/>
      <sheetName val="1.A-TUB.-DIV."/>
      <sheetName val="1.A3-TUB.-CANT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  <sheetName val="COMPOS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  <sheetName val="PRO-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 - Canteiro de Obra"/>
      <sheetName val="B - Captação_Elevação 1a Etapa "/>
      <sheetName val="C - Captação_Elevação 2a Etapa "/>
      <sheetName val="D -Adutora OK"/>
      <sheetName val="E - Reservatório Apoiado OK"/>
      <sheetName val="F - Estação de Tratamento"/>
      <sheetName val="G - Rede de Distribuição OK"/>
      <sheetName val="H - Ligação Predial OK"/>
      <sheetName val="I - Escritório de Operações OK"/>
      <sheetName val="Teor"/>
      <sheetName val="Equipam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spirehome.com.br/luminaria-de-embutir-comercial-retangular-refletor-aletas-2-tubular-t8-60cm-62-2x24-5cm-aluminio-lumavi-901?gclid=Cj0KCQjwm9yJBhDTARIsABKIcGa9itVIuHIEkePbDqRx71fBfP0Zks7wSqWRMu06l7wD2j4bmnrzdE4aAkFiEALw_wcB%20(acesso%20em%2007/09/2021,%20&#224;s%2020:17)" TargetMode="External" /><Relationship Id="rId2" Type="http://schemas.openxmlformats.org/officeDocument/2006/relationships/hyperlink" Target="https://www.luminadomus.com.br/luminaria-iluminacao-comercial-retangular-plafon-embutir-refletor-2x-t8-20w-60cm-escritorios-escolas-bancos-comercio-a402?utm_source=Site&amp;utm_medium=GoogleMerchant&amp;utm_campaign=GoogleMerchant%20(acesso%20em%2007/09/2021,%20&#224;s%2020:09)" TargetMode="External" /><Relationship Id="rId3" Type="http://schemas.openxmlformats.org/officeDocument/2006/relationships/hyperlink" Target="https://www.benluz.com.br/none-114340544?utm_source=Site&amp;utm_medium=GoogleMerchant&amp;utm_campaign=GoogleMerchant&amp;gclid=Cj0KCQjwm9yJBhDTARIsABKIcGasBd6x36cjKbX_apbIb2s9lVLZFwtYbm4Ojfh8t3zgj_7uLfO_ZKcaAsagEALw_wcB%20(Acesso%20em%2007/09/2021,%20&#225;s%2019:28)" TargetMode="External" /><Relationship Id="rId4" Type="http://schemas.openxmlformats.org/officeDocument/2006/relationships/hyperlink" Target="https://www.inspirehome.com.br/checkout/cart/" TargetMode="External" /><Relationship Id="rId5" Type="http://schemas.openxmlformats.org/officeDocument/2006/relationships/hyperlink" Target="https://www.blight.com.br/checkout/cart?session_id=fhmssj922mloqpqv3vgonru343&amp;store_id=683033#carrinho%20(acesso%20em%2007/09/2021,%20&#224;s%2020:01)" TargetMode="External" /><Relationship Id="rId6" Type="http://schemas.openxmlformats.org/officeDocument/2006/relationships/hyperlink" Target="https://www.americanas.com.br/produto/105507276?opn=YSMESP&amp;sellerid=85014793000150&amp;epar=bp_pl_00_go_mv_todas_geral_gmv&amp;WT.srch=1&amp;acc=e789ea56094489dffd798f86ff51c7a9&amp;i=5cb006db49f937f6258de38d&amp;o=5d43ee8e6c28a3cb504a6362&amp;gclid=CjwKCAjwmeiIBhA6EiwA-uaeFehuipB2cylmzzyo8fmrMl2IKb_QkZUMA_XZ13LAj_fxVqH85pnBExoCuCwQAvD_BwE%20(acesso%20em%2007/09/2021,%20&#224;s%2020:05)" TargetMode="External" /><Relationship Id="rId7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145" zoomScaleSheetLayoutView="145" workbookViewId="0" topLeftCell="A1">
      <selection activeCell="C21" sqref="C21"/>
    </sheetView>
  </sheetViews>
  <sheetFormatPr defaultColWidth="9.140625" defaultRowHeight="12.75"/>
  <cols>
    <col min="1" max="1" width="30.28125" style="654" customWidth="1"/>
    <col min="2" max="2" width="15.28125" style="655" customWidth="1"/>
    <col min="3" max="3" width="14.7109375" style="654" customWidth="1"/>
    <col min="4" max="4" width="15.421875" style="654" customWidth="1"/>
  </cols>
  <sheetData>
    <row r="1" spans="1:4" ht="15.75">
      <c r="A1" s="605" t="s">
        <v>0</v>
      </c>
      <c r="B1" s="605"/>
      <c r="C1" s="605"/>
      <c r="D1" s="605"/>
    </row>
    <row r="2" spans="1:4" ht="15.75">
      <c r="A2" s="608"/>
      <c r="B2" s="608"/>
      <c r="C2" s="608"/>
      <c r="D2" s="608"/>
    </row>
    <row r="3" spans="1:4" s="653" customFormat="1" ht="31.5" customHeight="1">
      <c r="A3" s="656" t="s">
        <v>1</v>
      </c>
      <c r="B3" s="657"/>
      <c r="C3" s="657"/>
      <c r="D3" s="658"/>
    </row>
    <row r="4" spans="1:4" ht="15.75">
      <c r="A4" s="608"/>
      <c r="B4" s="608"/>
      <c r="C4" s="608"/>
      <c r="D4" s="608"/>
    </row>
    <row r="5" spans="1:4" s="3" customFormat="1" ht="15.75">
      <c r="A5" s="453" t="s">
        <v>2</v>
      </c>
      <c r="B5" s="659" t="s">
        <v>3</v>
      </c>
      <c r="C5" s="659" t="s">
        <v>4</v>
      </c>
      <c r="D5" s="659" t="s">
        <v>5</v>
      </c>
    </row>
    <row r="6" spans="1:4" ht="15.75">
      <c r="A6" s="660" t="str">
        <f>'ANEXO PB II Penha brasil'!A5</f>
        <v>BOA VISTA - PENHA BRASIL</v>
      </c>
      <c r="B6" s="661">
        <f>'ANEXO PB II Penha brasil'!F99</f>
        <v>50643.05000000001</v>
      </c>
      <c r="C6" s="662">
        <f>'ANEXO PB II Penha brasil'!E100</f>
        <v>0.2764</v>
      </c>
      <c r="D6" s="661">
        <f>'ANEXO PB II Penha brasil'!F100</f>
        <v>64640.79</v>
      </c>
    </row>
    <row r="7" spans="1:4" ht="15.75">
      <c r="A7" s="660" t="str">
        <f>'ANEXO PB II Alto Alegre'!A5</f>
        <v>ALTO ALEGRE</v>
      </c>
      <c r="B7" s="661">
        <f>'ANEXO PB II Alto Alegre'!F54</f>
        <v>25715.6624</v>
      </c>
      <c r="C7" s="662">
        <f>'ANEXO PB II Alto Alegre'!E55</f>
        <v>0.2871</v>
      </c>
      <c r="D7" s="661">
        <f>'ANEXO PB II Alto Alegre'!F55</f>
        <v>33098.63</v>
      </c>
    </row>
    <row r="8" spans="1:4" ht="15.75">
      <c r="A8" s="660" t="str">
        <f>'ANEXO PB II Cantá'!A5</f>
        <v>CANTÁ</v>
      </c>
      <c r="B8" s="661">
        <f>'ANEXO PB II Cantá'!F42</f>
        <v>5423.96732</v>
      </c>
      <c r="C8" s="662">
        <f>'ANEXO PB II Cantá'!E43</f>
        <v>0.2907</v>
      </c>
      <c r="D8" s="661">
        <f>'ANEXO PB II Cantá'!F43</f>
        <v>7000.71</v>
      </c>
    </row>
    <row r="9" spans="1:4" ht="15.75">
      <c r="A9" s="660" t="str">
        <f>'ANEXO PB II Bonfim'!A5</f>
        <v>BONFIM</v>
      </c>
      <c r="B9" s="661">
        <f>'ANEXO PB II Bonfim'!F50</f>
        <v>9093.404399999998</v>
      </c>
      <c r="C9" s="662">
        <f>'ANEXO PB II Bonfim'!E51</f>
        <v>0.2907</v>
      </c>
      <c r="D9" s="661">
        <f>'ANEXO PB II Bonfim'!F51</f>
        <v>11736.86</v>
      </c>
    </row>
    <row r="10" spans="1:4" ht="15.75">
      <c r="A10" s="660" t="str">
        <f>'ANEXO PB II São Luiz'!A5</f>
        <v>SÃO LUIZ</v>
      </c>
      <c r="B10" s="661">
        <f>'ANEXO PB II São Luiz'!F33</f>
        <v>1359.8096</v>
      </c>
      <c r="C10" s="662">
        <f>'ANEXO PB II São Luiz'!E34</f>
        <v>0.2907</v>
      </c>
      <c r="D10" s="661">
        <f>'ANEXO PB II São Luiz'!F34</f>
        <v>1755.11</v>
      </c>
    </row>
    <row r="11" spans="1:4" ht="15.75">
      <c r="A11" s="660" t="str">
        <f>'ANEXO PB II Pacaraima'!A5</f>
        <v>PACARAIMA</v>
      </c>
      <c r="B11" s="661">
        <f>'ANEXO PB II Pacaraima'!F22</f>
        <v>5020.09</v>
      </c>
      <c r="C11" s="662">
        <f>'ANEXO PB II Pacaraima'!E23</f>
        <v>0.2907</v>
      </c>
      <c r="D11" s="661">
        <f>'ANEXO PB II Pacaraima'!F23</f>
        <v>6479.43</v>
      </c>
    </row>
    <row r="12" spans="1:4" ht="15.75">
      <c r="A12" s="660" t="str">
        <f>'ANEXO PB II RORAINÓPILS'!A5</f>
        <v>RORAINÓPOLIS</v>
      </c>
      <c r="B12" s="661">
        <f>'ANEXO PB II RORAINÓPILS'!F37</f>
        <v>5763.599999999999</v>
      </c>
      <c r="C12" s="662">
        <f>'ANEXO PB II RORAINÓPILS'!E38</f>
        <v>0.2907</v>
      </c>
      <c r="D12" s="661">
        <f>'ANEXO PB II RORAINÓPILS'!F38</f>
        <v>7439.08</v>
      </c>
    </row>
    <row r="13" spans="1:4" ht="15.75">
      <c r="A13" s="660" t="str">
        <f>'ANEXO PB II MUCAJAÍ'!A5</f>
        <v>MUCAJAÍ</v>
      </c>
      <c r="B13" s="661">
        <f>'ANEXO PB II MUCAJAÍ'!F25</f>
        <v>473.31000000000006</v>
      </c>
      <c r="C13" s="662">
        <f>'ANEXO PB II MUCAJAÍ'!E26</f>
        <v>0.2907</v>
      </c>
      <c r="D13" s="661">
        <f>'ANEXO PB II MUCAJAÍ'!F26</f>
        <v>610.9</v>
      </c>
    </row>
    <row r="14" spans="1:4" ht="15.75">
      <c r="A14" s="608"/>
      <c r="B14" s="608"/>
      <c r="C14" s="608"/>
      <c r="D14" s="608"/>
    </row>
    <row r="15" spans="1:4" ht="15.75">
      <c r="A15" s="663"/>
      <c r="B15" s="663"/>
      <c r="C15" s="453" t="s">
        <v>6</v>
      </c>
      <c r="D15" s="659">
        <f>SUM(D6:D13)</f>
        <v>132761.50999999998</v>
      </c>
    </row>
    <row r="16" spans="1:4" ht="15.75">
      <c r="A16" s="608"/>
      <c r="B16" s="608"/>
      <c r="C16" s="608"/>
      <c r="D16" s="608"/>
    </row>
  </sheetData>
  <sheetProtection/>
  <mergeCells count="7">
    <mergeCell ref="A1:D1"/>
    <mergeCell ref="A2:D2"/>
    <mergeCell ref="A3:D3"/>
    <mergeCell ref="A4:D4"/>
    <mergeCell ref="A14:D14"/>
    <mergeCell ref="A15:B15"/>
    <mergeCell ref="A16:D16"/>
  </mergeCells>
  <printOptions/>
  <pageMargins left="1.18" right="0.79" top="1.97" bottom="1" header="0.51" footer="0.51"/>
  <pageSetup horizontalDpi="600" verticalDpi="600" orientation="portrait" paperSize="9" scale="63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87"/>
  <sheetViews>
    <sheetView view="pageBreakPreview" zoomScale="130" zoomScaleNormal="130" zoomScaleSheetLayoutView="130" workbookViewId="0" topLeftCell="A1">
      <selection activeCell="A12" sqref="A12:E12"/>
    </sheetView>
  </sheetViews>
  <sheetFormatPr defaultColWidth="9.140625" defaultRowHeight="12.75"/>
  <cols>
    <col min="1" max="1" width="19.140625" style="243" customWidth="1"/>
    <col min="2" max="2" width="15.00390625" style="243" customWidth="1"/>
    <col min="3" max="3" width="13.28125" style="243" customWidth="1"/>
    <col min="4" max="4" width="12.8515625" style="243" customWidth="1"/>
    <col min="5" max="5" width="14.421875" style="243" customWidth="1"/>
    <col min="6" max="6" width="17.140625" style="243" customWidth="1"/>
    <col min="7" max="7" width="11.28125" style="243" customWidth="1"/>
    <col min="8" max="8" width="15.421875" style="188" customWidth="1"/>
    <col min="9" max="13" width="9.140625" style="183" customWidth="1"/>
    <col min="14" max="14" width="12.8515625" style="183" bestFit="1" customWidth="1"/>
    <col min="15" max="16" width="9.140625" style="183" customWidth="1"/>
  </cols>
  <sheetData>
    <row r="1" spans="1:8" ht="15.75">
      <c r="A1" s="244" t="s">
        <v>246</v>
      </c>
      <c r="B1" s="244"/>
      <c r="C1" s="244"/>
      <c r="D1" s="244"/>
      <c r="E1" s="244"/>
      <c r="F1" s="244"/>
      <c r="G1" s="244"/>
      <c r="H1" s="244"/>
    </row>
    <row r="2" spans="1:8" ht="15.75">
      <c r="A2" s="245"/>
      <c r="B2" s="245"/>
      <c r="C2" s="245"/>
      <c r="D2" s="245"/>
      <c r="E2" s="245"/>
      <c r="F2" s="245"/>
      <c r="G2" s="245"/>
      <c r="H2" s="245"/>
    </row>
    <row r="3" spans="1:8" ht="31.5" customHeight="1">
      <c r="A3" s="246" t="str">
        <f>'ANEXO PB II MUCAJAÍ'!A3</f>
        <v>OBRA: CONTRATAÇÃO DE EMPRESA PARA RECUPERAÇÃO DOS PRÉDIOS DA DEFENSORIA PÚBLICA DO ESTADO DE RORAIMA NA CAPITAL E NOS MUNICÍPIO DO INTERIOR</v>
      </c>
      <c r="B3" s="247"/>
      <c r="C3" s="247"/>
      <c r="D3" s="247"/>
      <c r="E3" s="247"/>
      <c r="F3" s="247"/>
      <c r="G3" s="247"/>
      <c r="H3" s="248"/>
    </row>
    <row r="4" spans="1:8" ht="15.75">
      <c r="A4" s="245"/>
      <c r="B4" s="245"/>
      <c r="C4" s="245"/>
      <c r="D4" s="245"/>
      <c r="E4" s="245"/>
      <c r="F4" s="245"/>
      <c r="G4" s="245"/>
      <c r="H4" s="245"/>
    </row>
    <row r="5" spans="1:9" ht="15.75">
      <c r="A5" s="244" t="s">
        <v>247</v>
      </c>
      <c r="B5" s="244"/>
      <c r="C5" s="244"/>
      <c r="D5" s="244"/>
      <c r="E5" s="244"/>
      <c r="F5" s="244"/>
      <c r="G5" s="244"/>
      <c r="H5" s="244"/>
      <c r="I5" s="295"/>
    </row>
    <row r="6" spans="1:9" ht="15.75">
      <c r="A6" s="245"/>
      <c r="B6" s="245"/>
      <c r="C6" s="245"/>
      <c r="D6" s="245"/>
      <c r="E6" s="245"/>
      <c r="F6" s="245"/>
      <c r="G6" s="245"/>
      <c r="H6" s="245"/>
      <c r="I6" s="295"/>
    </row>
    <row r="7" spans="1:256" s="237" customFormat="1" ht="15.75">
      <c r="A7" s="249" t="s">
        <v>248</v>
      </c>
      <c r="B7" s="249"/>
      <c r="C7" s="249"/>
      <c r="D7" s="249"/>
      <c r="E7" s="249"/>
      <c r="F7" s="249"/>
      <c r="G7" s="249"/>
      <c r="H7" s="250"/>
      <c r="I7" s="295"/>
      <c r="J7" s="296"/>
      <c r="K7" s="296"/>
      <c r="L7" s="296"/>
      <c r="M7" s="296"/>
      <c r="N7" s="296"/>
      <c r="O7" s="296"/>
      <c r="P7" s="297"/>
      <c r="Q7" s="298"/>
      <c r="R7" s="299"/>
      <c r="S7" s="299"/>
      <c r="T7" s="299"/>
      <c r="U7" s="299"/>
      <c r="V7" s="299"/>
      <c r="W7" s="299"/>
      <c r="X7" s="300"/>
      <c r="Y7" s="298"/>
      <c r="Z7" s="299"/>
      <c r="AA7" s="299"/>
      <c r="AB7" s="299"/>
      <c r="AC7" s="299"/>
      <c r="AD7" s="299"/>
      <c r="AE7" s="299"/>
      <c r="AF7" s="300"/>
      <c r="AG7" s="298"/>
      <c r="AH7" s="299"/>
      <c r="AI7" s="299"/>
      <c r="AJ7" s="299"/>
      <c r="AK7" s="299"/>
      <c r="AL7" s="299"/>
      <c r="AM7" s="299"/>
      <c r="AN7" s="300"/>
      <c r="AO7" s="298"/>
      <c r="AP7" s="299"/>
      <c r="AQ7" s="299"/>
      <c r="AR7" s="299"/>
      <c r="AS7" s="299"/>
      <c r="AT7" s="299"/>
      <c r="AU7" s="299"/>
      <c r="AV7" s="300"/>
      <c r="AW7" s="298"/>
      <c r="AX7" s="299"/>
      <c r="AY7" s="299"/>
      <c r="AZ7" s="299"/>
      <c r="BA7" s="299"/>
      <c r="BB7" s="299"/>
      <c r="BC7" s="299"/>
      <c r="BD7" s="300"/>
      <c r="BE7" s="298"/>
      <c r="BF7" s="299"/>
      <c r="BG7" s="299"/>
      <c r="BH7" s="299"/>
      <c r="BI7" s="299"/>
      <c r="BJ7" s="299"/>
      <c r="BK7" s="299"/>
      <c r="BL7" s="300"/>
      <c r="BM7" s="298"/>
      <c r="BN7" s="299"/>
      <c r="BO7" s="299"/>
      <c r="BP7" s="299"/>
      <c r="BQ7" s="299"/>
      <c r="BR7" s="299"/>
      <c r="BS7" s="299"/>
      <c r="BT7" s="300"/>
      <c r="BU7" s="298"/>
      <c r="BV7" s="299"/>
      <c r="BW7" s="299"/>
      <c r="BX7" s="299"/>
      <c r="BY7" s="299"/>
      <c r="BZ7" s="299"/>
      <c r="CA7" s="299"/>
      <c r="CB7" s="300"/>
      <c r="CC7" s="298"/>
      <c r="CD7" s="299"/>
      <c r="CE7" s="299"/>
      <c r="CF7" s="299"/>
      <c r="CG7" s="299"/>
      <c r="CH7" s="299"/>
      <c r="CI7" s="299"/>
      <c r="CJ7" s="300"/>
      <c r="CK7" s="298"/>
      <c r="CL7" s="299"/>
      <c r="CM7" s="299"/>
      <c r="CN7" s="299"/>
      <c r="CO7" s="299"/>
      <c r="CP7" s="299"/>
      <c r="CQ7" s="299"/>
      <c r="CR7" s="300"/>
      <c r="CS7" s="298"/>
      <c r="CT7" s="299"/>
      <c r="CU7" s="299"/>
      <c r="CV7" s="299"/>
      <c r="CW7" s="299"/>
      <c r="CX7" s="299"/>
      <c r="CY7" s="299"/>
      <c r="CZ7" s="300"/>
      <c r="DA7" s="298"/>
      <c r="DB7" s="299"/>
      <c r="DC7" s="299"/>
      <c r="DD7" s="299"/>
      <c r="DE7" s="299"/>
      <c r="DF7" s="299"/>
      <c r="DG7" s="299"/>
      <c r="DH7" s="300"/>
      <c r="DI7" s="298"/>
      <c r="DJ7" s="299"/>
      <c r="DK7" s="299"/>
      <c r="DL7" s="299"/>
      <c r="DM7" s="299"/>
      <c r="DN7" s="299"/>
      <c r="DO7" s="299"/>
      <c r="DP7" s="300"/>
      <c r="DQ7" s="298"/>
      <c r="DR7" s="299"/>
      <c r="DS7" s="299"/>
      <c r="DT7" s="299"/>
      <c r="DU7" s="299"/>
      <c r="DV7" s="299"/>
      <c r="DW7" s="299"/>
      <c r="DX7" s="300"/>
      <c r="DY7" s="298"/>
      <c r="DZ7" s="299"/>
      <c r="EA7" s="299"/>
      <c r="EB7" s="299"/>
      <c r="EC7" s="299"/>
      <c r="ED7" s="299"/>
      <c r="EE7" s="299"/>
      <c r="EF7" s="300"/>
      <c r="EG7" s="298"/>
      <c r="EH7" s="299"/>
      <c r="EI7" s="299"/>
      <c r="EJ7" s="299"/>
      <c r="EK7" s="299"/>
      <c r="EL7" s="299"/>
      <c r="EM7" s="299"/>
      <c r="EN7" s="300"/>
      <c r="EO7" s="298"/>
      <c r="EP7" s="299"/>
      <c r="EQ7" s="299"/>
      <c r="ER7" s="299"/>
      <c r="ES7" s="299"/>
      <c r="ET7" s="299"/>
      <c r="EU7" s="299"/>
      <c r="EV7" s="300"/>
      <c r="EW7" s="298"/>
      <c r="EX7" s="299"/>
      <c r="EY7" s="299"/>
      <c r="EZ7" s="299"/>
      <c r="FA7" s="299"/>
      <c r="FB7" s="299"/>
      <c r="FC7" s="299"/>
      <c r="FD7" s="300"/>
      <c r="FE7" s="298"/>
      <c r="FF7" s="299"/>
      <c r="FG7" s="299"/>
      <c r="FH7" s="299"/>
      <c r="FI7" s="299"/>
      <c r="FJ7" s="299"/>
      <c r="FK7" s="299"/>
      <c r="FL7" s="300"/>
      <c r="FM7" s="298"/>
      <c r="FN7" s="299"/>
      <c r="FO7" s="299"/>
      <c r="FP7" s="299"/>
      <c r="FQ7" s="299"/>
      <c r="FR7" s="299"/>
      <c r="FS7" s="299"/>
      <c r="FT7" s="300"/>
      <c r="FU7" s="298"/>
      <c r="FV7" s="299"/>
      <c r="FW7" s="299"/>
      <c r="FX7" s="299"/>
      <c r="FY7" s="299"/>
      <c r="FZ7" s="299"/>
      <c r="GA7" s="299"/>
      <c r="GB7" s="300"/>
      <c r="GC7" s="298"/>
      <c r="GD7" s="299"/>
      <c r="GE7" s="299"/>
      <c r="GF7" s="299"/>
      <c r="GG7" s="299"/>
      <c r="GH7" s="299"/>
      <c r="GI7" s="299"/>
      <c r="GJ7" s="300"/>
      <c r="GK7" s="298"/>
      <c r="GL7" s="299"/>
      <c r="GM7" s="299"/>
      <c r="GN7" s="299"/>
      <c r="GO7" s="299"/>
      <c r="GP7" s="299"/>
      <c r="GQ7" s="299"/>
      <c r="GR7" s="300"/>
      <c r="GS7" s="298"/>
      <c r="GT7" s="299"/>
      <c r="GU7" s="299"/>
      <c r="GV7" s="299"/>
      <c r="GW7" s="299"/>
      <c r="GX7" s="299"/>
      <c r="GY7" s="299"/>
      <c r="GZ7" s="300"/>
      <c r="HA7" s="298"/>
      <c r="HB7" s="299"/>
      <c r="HC7" s="299"/>
      <c r="HD7" s="299"/>
      <c r="HE7" s="299"/>
      <c r="HF7" s="299"/>
      <c r="HG7" s="299"/>
      <c r="HH7" s="300"/>
      <c r="HI7" s="298"/>
      <c r="HJ7" s="299"/>
      <c r="HK7" s="299"/>
      <c r="HL7" s="299"/>
      <c r="HM7" s="299"/>
      <c r="HN7" s="299"/>
      <c r="HO7" s="299"/>
      <c r="HP7" s="300"/>
      <c r="HQ7" s="298"/>
      <c r="HR7" s="299"/>
      <c r="HS7" s="299"/>
      <c r="HT7" s="299"/>
      <c r="HU7" s="299"/>
      <c r="HV7" s="299"/>
      <c r="HW7" s="299"/>
      <c r="HX7" s="300"/>
      <c r="HY7" s="298"/>
      <c r="HZ7" s="299"/>
      <c r="IA7" s="299"/>
      <c r="IB7" s="299"/>
      <c r="IC7" s="299"/>
      <c r="ID7" s="299"/>
      <c r="IE7" s="299"/>
      <c r="IF7" s="300"/>
      <c r="IG7" s="298"/>
      <c r="IH7" s="299"/>
      <c r="II7" s="299"/>
      <c r="IJ7" s="299"/>
      <c r="IK7" s="299"/>
      <c r="IL7" s="299"/>
      <c r="IM7" s="299"/>
      <c r="IN7" s="300"/>
      <c r="IO7" s="298"/>
      <c r="IP7" s="299"/>
      <c r="IQ7" s="299"/>
      <c r="IR7" s="299"/>
      <c r="IS7" s="299"/>
      <c r="IT7" s="299"/>
      <c r="IU7" s="299"/>
      <c r="IV7" s="300"/>
    </row>
    <row r="8" spans="1:256" s="237" customFormat="1" ht="15.75">
      <c r="A8" s="245"/>
      <c r="B8" s="245"/>
      <c r="C8" s="245"/>
      <c r="D8" s="245"/>
      <c r="E8" s="245"/>
      <c r="F8" s="245"/>
      <c r="G8" s="245"/>
      <c r="H8" s="245"/>
      <c r="I8" s="295"/>
      <c r="J8" s="296"/>
      <c r="K8" s="296"/>
      <c r="L8" s="296"/>
      <c r="M8" s="296"/>
      <c r="N8" s="296"/>
      <c r="O8" s="296"/>
      <c r="P8" s="296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/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  <c r="DU8" s="299"/>
      <c r="DV8" s="299"/>
      <c r="DW8" s="299"/>
      <c r="DX8" s="299"/>
      <c r="DY8" s="299"/>
      <c r="DZ8" s="299"/>
      <c r="EA8" s="299"/>
      <c r="EB8" s="299"/>
      <c r="EC8" s="299"/>
      <c r="ED8" s="299"/>
      <c r="EE8" s="299"/>
      <c r="EF8" s="299"/>
      <c r="EG8" s="299"/>
      <c r="EH8" s="299"/>
      <c r="EI8" s="299"/>
      <c r="EJ8" s="299"/>
      <c r="EK8" s="299"/>
      <c r="EL8" s="299"/>
      <c r="EM8" s="299"/>
      <c r="EN8" s="299"/>
      <c r="EO8" s="299"/>
      <c r="EP8" s="299"/>
      <c r="EQ8" s="299"/>
      <c r="ER8" s="299"/>
      <c r="ES8" s="299"/>
      <c r="ET8" s="299"/>
      <c r="EU8" s="299"/>
      <c r="EV8" s="299"/>
      <c r="EW8" s="299"/>
      <c r="EX8" s="299"/>
      <c r="EY8" s="299"/>
      <c r="EZ8" s="299"/>
      <c r="FA8" s="299"/>
      <c r="FB8" s="299"/>
      <c r="FC8" s="299"/>
      <c r="FD8" s="299"/>
      <c r="FE8" s="299"/>
      <c r="FF8" s="299"/>
      <c r="FG8" s="299"/>
      <c r="FH8" s="299"/>
      <c r="FI8" s="299"/>
      <c r="FJ8" s="299"/>
      <c r="FK8" s="299"/>
      <c r="FL8" s="299"/>
      <c r="FM8" s="299"/>
      <c r="FN8" s="299"/>
      <c r="FO8" s="299"/>
      <c r="FP8" s="299"/>
      <c r="FQ8" s="299"/>
      <c r="FR8" s="299"/>
      <c r="FS8" s="299"/>
      <c r="FT8" s="299"/>
      <c r="FU8" s="299"/>
      <c r="FV8" s="299"/>
      <c r="FW8" s="299"/>
      <c r="FX8" s="299"/>
      <c r="FY8" s="299"/>
      <c r="FZ8" s="299"/>
      <c r="GA8" s="299"/>
      <c r="GB8" s="299"/>
      <c r="GC8" s="299"/>
      <c r="GD8" s="299"/>
      <c r="GE8" s="299"/>
      <c r="GF8" s="299"/>
      <c r="GG8" s="299"/>
      <c r="GH8" s="299"/>
      <c r="GI8" s="299"/>
      <c r="GJ8" s="299"/>
      <c r="GK8" s="299"/>
      <c r="GL8" s="299"/>
      <c r="GM8" s="299"/>
      <c r="GN8" s="299"/>
      <c r="GO8" s="299"/>
      <c r="GP8" s="299"/>
      <c r="GQ8" s="299"/>
      <c r="GR8" s="299"/>
      <c r="GS8" s="299"/>
      <c r="GT8" s="299"/>
      <c r="GU8" s="299"/>
      <c r="GV8" s="299"/>
      <c r="GW8" s="299"/>
      <c r="GX8" s="299"/>
      <c r="GY8" s="299"/>
      <c r="GZ8" s="299"/>
      <c r="HA8" s="299"/>
      <c r="HB8" s="299"/>
      <c r="HC8" s="299"/>
      <c r="HD8" s="299"/>
      <c r="HE8" s="299"/>
      <c r="HF8" s="299"/>
      <c r="HG8" s="299"/>
      <c r="HH8" s="299"/>
      <c r="HI8" s="299"/>
      <c r="HJ8" s="299"/>
      <c r="HK8" s="299"/>
      <c r="HL8" s="299"/>
      <c r="HM8" s="299"/>
      <c r="HN8" s="299"/>
      <c r="HO8" s="299"/>
      <c r="HP8" s="299"/>
      <c r="HQ8" s="299"/>
      <c r="HR8" s="299"/>
      <c r="HS8" s="299"/>
      <c r="HT8" s="299"/>
      <c r="HU8" s="299"/>
      <c r="HV8" s="299"/>
      <c r="HW8" s="299"/>
      <c r="HX8" s="299"/>
      <c r="HY8" s="299"/>
      <c r="HZ8" s="299"/>
      <c r="IA8" s="299"/>
      <c r="IB8" s="299"/>
      <c r="IC8" s="299"/>
      <c r="ID8" s="299"/>
      <c r="IE8" s="299"/>
      <c r="IF8" s="299"/>
      <c r="IG8" s="299"/>
      <c r="IH8" s="299"/>
      <c r="II8" s="299"/>
      <c r="IJ8" s="299"/>
      <c r="IK8" s="299"/>
      <c r="IL8" s="299"/>
      <c r="IM8" s="299"/>
      <c r="IN8" s="299"/>
      <c r="IO8" s="299"/>
      <c r="IP8" s="299"/>
      <c r="IQ8" s="299"/>
      <c r="IR8" s="299"/>
      <c r="IS8" s="299"/>
      <c r="IT8" s="299"/>
      <c r="IU8" s="299"/>
      <c r="IV8" s="299"/>
    </row>
    <row r="9" spans="1:256" s="237" customFormat="1" ht="15.75">
      <c r="A9" s="251" t="s">
        <v>249</v>
      </c>
      <c r="B9" s="251"/>
      <c r="C9" s="251"/>
      <c r="D9" s="251"/>
      <c r="E9" s="251"/>
      <c r="F9" s="252"/>
      <c r="G9" s="252" t="s">
        <v>250</v>
      </c>
      <c r="H9" s="253" t="s">
        <v>251</v>
      </c>
      <c r="I9" s="295"/>
      <c r="J9" s="296"/>
      <c r="K9" s="296"/>
      <c r="L9" s="296"/>
      <c r="M9" s="296"/>
      <c r="N9" s="296"/>
      <c r="O9" s="296"/>
      <c r="P9" s="296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  <c r="DU9" s="299"/>
      <c r="DV9" s="299"/>
      <c r="DW9" s="299"/>
      <c r="DX9" s="299"/>
      <c r="DY9" s="299"/>
      <c r="DZ9" s="299"/>
      <c r="EA9" s="299"/>
      <c r="EB9" s="299"/>
      <c r="EC9" s="299"/>
      <c r="ED9" s="299"/>
      <c r="EE9" s="299"/>
      <c r="EF9" s="299"/>
      <c r="EG9" s="299"/>
      <c r="EH9" s="299"/>
      <c r="EI9" s="299"/>
      <c r="EJ9" s="299"/>
      <c r="EK9" s="299"/>
      <c r="EL9" s="299"/>
      <c r="EM9" s="299"/>
      <c r="EN9" s="299"/>
      <c r="EO9" s="299"/>
      <c r="EP9" s="299"/>
      <c r="EQ9" s="299"/>
      <c r="ER9" s="299"/>
      <c r="ES9" s="299"/>
      <c r="ET9" s="299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299"/>
      <c r="GD9" s="299"/>
      <c r="GE9" s="299"/>
      <c r="GF9" s="299"/>
      <c r="GG9" s="299"/>
      <c r="GH9" s="299"/>
      <c r="GI9" s="299"/>
      <c r="GJ9" s="299"/>
      <c r="GK9" s="299"/>
      <c r="GL9" s="299"/>
      <c r="GM9" s="299"/>
      <c r="GN9" s="299"/>
      <c r="GO9" s="299"/>
      <c r="GP9" s="299"/>
      <c r="GQ9" s="299"/>
      <c r="GR9" s="299"/>
      <c r="GS9" s="299"/>
      <c r="GT9" s="299"/>
      <c r="GU9" s="299"/>
      <c r="GV9" s="299"/>
      <c r="GW9" s="299"/>
      <c r="GX9" s="299"/>
      <c r="GY9" s="299"/>
      <c r="GZ9" s="299"/>
      <c r="HA9" s="299"/>
      <c r="HB9" s="299"/>
      <c r="HC9" s="299"/>
      <c r="HD9" s="299"/>
      <c r="HE9" s="299"/>
      <c r="HF9" s="299"/>
      <c r="HG9" s="299"/>
      <c r="HH9" s="299"/>
      <c r="HI9" s="299"/>
      <c r="HJ9" s="299"/>
      <c r="HK9" s="299"/>
      <c r="HL9" s="299"/>
      <c r="HM9" s="299"/>
      <c r="HN9" s="299"/>
      <c r="HO9" s="299"/>
      <c r="HP9" s="299"/>
      <c r="HQ9" s="299"/>
      <c r="HR9" s="299"/>
      <c r="HS9" s="299"/>
      <c r="HT9" s="299"/>
      <c r="HU9" s="299"/>
      <c r="HV9" s="299"/>
      <c r="HW9" s="299"/>
      <c r="HX9" s="299"/>
      <c r="HY9" s="299"/>
      <c r="HZ9" s="299"/>
      <c r="IA9" s="299"/>
      <c r="IB9" s="299"/>
      <c r="IC9" s="299"/>
      <c r="ID9" s="299"/>
      <c r="IE9" s="299"/>
      <c r="IF9" s="299"/>
      <c r="IG9" s="299"/>
      <c r="IH9" s="299"/>
      <c r="II9" s="299"/>
      <c r="IJ9" s="299"/>
      <c r="IK9" s="299"/>
      <c r="IL9" s="299"/>
      <c r="IM9" s="299"/>
      <c r="IN9" s="299"/>
      <c r="IO9" s="299"/>
      <c r="IP9" s="299"/>
      <c r="IQ9" s="299"/>
      <c r="IR9" s="299"/>
      <c r="IS9" s="299"/>
      <c r="IT9" s="299"/>
      <c r="IU9" s="299"/>
      <c r="IV9" s="299"/>
    </row>
    <row r="10" spans="1:9" ht="15.75">
      <c r="A10" s="254" t="s">
        <v>252</v>
      </c>
      <c r="B10" s="254"/>
      <c r="C10" s="254"/>
      <c r="D10" s="254"/>
      <c r="E10" s="254"/>
      <c r="F10" s="255"/>
      <c r="G10" s="255">
        <f>3.82*0.84</f>
        <v>3.2087999999999997</v>
      </c>
      <c r="H10" s="256">
        <f>G10</f>
        <v>3.2087999999999997</v>
      </c>
      <c r="I10" s="295"/>
    </row>
    <row r="11" spans="1:9" ht="15.75">
      <c r="A11" s="245"/>
      <c r="B11" s="245"/>
      <c r="C11" s="245"/>
      <c r="D11" s="245"/>
      <c r="E11" s="245"/>
      <c r="F11" s="245"/>
      <c r="G11" s="245"/>
      <c r="H11" s="245"/>
      <c r="I11" s="295"/>
    </row>
    <row r="12" spans="1:9" ht="47.25">
      <c r="A12" s="251" t="s">
        <v>249</v>
      </c>
      <c r="B12" s="251"/>
      <c r="C12" s="251"/>
      <c r="D12" s="251"/>
      <c r="E12" s="251"/>
      <c r="F12" s="252" t="s">
        <v>253</v>
      </c>
      <c r="G12" s="252" t="s">
        <v>254</v>
      </c>
      <c r="H12" s="253" t="s">
        <v>251</v>
      </c>
      <c r="I12" s="295"/>
    </row>
    <row r="13" spans="1:256" s="237" customFormat="1" ht="15.75">
      <c r="A13" s="254" t="s">
        <v>255</v>
      </c>
      <c r="B13" s="254"/>
      <c r="C13" s="254"/>
      <c r="D13" s="254"/>
      <c r="E13" s="254"/>
      <c r="F13" s="255">
        <f>0.41*0.41</f>
        <v>0.16809999999999997</v>
      </c>
      <c r="G13" s="255">
        <v>1</v>
      </c>
      <c r="H13" s="256">
        <f>ROUND(F13*G13,2)</f>
        <v>0.17</v>
      </c>
      <c r="I13" s="295"/>
      <c r="J13" s="296"/>
      <c r="K13" s="296"/>
      <c r="L13" s="296"/>
      <c r="M13" s="296"/>
      <c r="N13" s="296"/>
      <c r="O13" s="296"/>
      <c r="P13" s="296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  <c r="GZ13" s="299"/>
      <c r="HA13" s="299"/>
      <c r="HB13" s="299"/>
      <c r="HC13" s="299"/>
      <c r="HD13" s="299"/>
      <c r="HE13" s="299"/>
      <c r="HF13" s="299"/>
      <c r="HG13" s="299"/>
      <c r="HH13" s="299"/>
      <c r="HI13" s="299"/>
      <c r="HJ13" s="299"/>
      <c r="HK13" s="299"/>
      <c r="HL13" s="299"/>
      <c r="HM13" s="299"/>
      <c r="HN13" s="299"/>
      <c r="HO13" s="299"/>
      <c r="HP13" s="299"/>
      <c r="HQ13" s="299"/>
      <c r="HR13" s="299"/>
      <c r="HS13" s="299"/>
      <c r="HT13" s="299"/>
      <c r="HU13" s="299"/>
      <c r="HV13" s="299"/>
      <c r="HW13" s="299"/>
      <c r="HX13" s="299"/>
      <c r="HY13" s="299"/>
      <c r="HZ13" s="299"/>
      <c r="IA13" s="299"/>
      <c r="IB13" s="299"/>
      <c r="IC13" s="299"/>
      <c r="ID13" s="299"/>
      <c r="IE13" s="299"/>
      <c r="IF13" s="299"/>
      <c r="IG13" s="299"/>
      <c r="IH13" s="299"/>
      <c r="II13" s="299"/>
      <c r="IJ13" s="299"/>
      <c r="IK13" s="299"/>
      <c r="IL13" s="299"/>
      <c r="IM13" s="299"/>
      <c r="IN13" s="299"/>
      <c r="IO13" s="299"/>
      <c r="IP13" s="299"/>
      <c r="IQ13" s="299"/>
      <c r="IR13" s="299"/>
      <c r="IS13" s="299"/>
      <c r="IT13" s="299"/>
      <c r="IU13" s="299"/>
      <c r="IV13" s="299"/>
    </row>
    <row r="14" spans="1:256" s="237" customFormat="1" ht="15.75">
      <c r="A14" s="254" t="s">
        <v>256</v>
      </c>
      <c r="B14" s="254"/>
      <c r="C14" s="254"/>
      <c r="D14" s="254"/>
      <c r="E14" s="254"/>
      <c r="F14" s="255">
        <f>0.41*0.41</f>
        <v>0.16809999999999997</v>
      </c>
      <c r="G14" s="255">
        <v>5</v>
      </c>
      <c r="H14" s="256">
        <f>ROUND(F14*G14,2)</f>
        <v>0.84</v>
      </c>
      <c r="I14" s="295"/>
      <c r="J14" s="296"/>
      <c r="K14" s="296"/>
      <c r="L14" s="296"/>
      <c r="M14" s="296"/>
      <c r="N14" s="296"/>
      <c r="O14" s="296"/>
      <c r="P14" s="296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  <c r="GZ14" s="299"/>
      <c r="HA14" s="299"/>
      <c r="HB14" s="299"/>
      <c r="HC14" s="299"/>
      <c r="HD14" s="299"/>
      <c r="HE14" s="299"/>
      <c r="HF14" s="299"/>
      <c r="HG14" s="299"/>
      <c r="HH14" s="299"/>
      <c r="HI14" s="299"/>
      <c r="HJ14" s="299"/>
      <c r="HK14" s="299"/>
      <c r="HL14" s="299"/>
      <c r="HM14" s="299"/>
      <c r="HN14" s="299"/>
      <c r="HO14" s="299"/>
      <c r="HP14" s="299"/>
      <c r="HQ14" s="299"/>
      <c r="HR14" s="299"/>
      <c r="HS14" s="299"/>
      <c r="HT14" s="299"/>
      <c r="HU14" s="299"/>
      <c r="HV14" s="299"/>
      <c r="HW14" s="299"/>
      <c r="HX14" s="299"/>
      <c r="HY14" s="299"/>
      <c r="HZ14" s="299"/>
      <c r="IA14" s="299"/>
      <c r="IB14" s="299"/>
      <c r="IC14" s="299"/>
      <c r="ID14" s="299"/>
      <c r="IE14" s="299"/>
      <c r="IF14" s="299"/>
      <c r="IG14" s="299"/>
      <c r="IH14" s="299"/>
      <c r="II14" s="299"/>
      <c r="IJ14" s="299"/>
      <c r="IK14" s="299"/>
      <c r="IL14" s="299"/>
      <c r="IM14" s="299"/>
      <c r="IN14" s="299"/>
      <c r="IO14" s="299"/>
      <c r="IP14" s="299"/>
      <c r="IQ14" s="299"/>
      <c r="IR14" s="299"/>
      <c r="IS14" s="299"/>
      <c r="IT14" s="299"/>
      <c r="IU14" s="299"/>
      <c r="IV14" s="299"/>
    </row>
    <row r="15" spans="1:256" s="237" customFormat="1" ht="15.75">
      <c r="A15" s="254" t="s">
        <v>257</v>
      </c>
      <c r="B15" s="254"/>
      <c r="C15" s="254"/>
      <c r="D15" s="254"/>
      <c r="E15" s="254"/>
      <c r="F15" s="255">
        <f>0.41*0.41</f>
        <v>0.16809999999999997</v>
      </c>
      <c r="G15" s="255">
        <v>7</v>
      </c>
      <c r="H15" s="256">
        <f>ROUND(F15*G15,2)</f>
        <v>1.18</v>
      </c>
      <c r="I15" s="295"/>
      <c r="J15" s="296"/>
      <c r="K15" s="296"/>
      <c r="L15" s="296"/>
      <c r="M15" s="296"/>
      <c r="N15" s="296"/>
      <c r="O15" s="296"/>
      <c r="P15" s="296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299"/>
      <c r="EG15" s="299"/>
      <c r="EH15" s="299"/>
      <c r="EI15" s="299"/>
      <c r="EJ15" s="299"/>
      <c r="EK15" s="299"/>
      <c r="EL15" s="299"/>
      <c r="EM15" s="299"/>
      <c r="EN15" s="299"/>
      <c r="EO15" s="299"/>
      <c r="EP15" s="299"/>
      <c r="EQ15" s="299"/>
      <c r="ER15" s="299"/>
      <c r="ES15" s="299"/>
      <c r="ET15" s="299"/>
      <c r="EU15" s="299"/>
      <c r="EV15" s="299"/>
      <c r="EW15" s="299"/>
      <c r="EX15" s="299"/>
      <c r="EY15" s="299"/>
      <c r="EZ15" s="299"/>
      <c r="FA15" s="299"/>
      <c r="FB15" s="299"/>
      <c r="FC15" s="299"/>
      <c r="FD15" s="299"/>
      <c r="FE15" s="299"/>
      <c r="FF15" s="299"/>
      <c r="FG15" s="299"/>
      <c r="FH15" s="299"/>
      <c r="FI15" s="299"/>
      <c r="FJ15" s="299"/>
      <c r="FK15" s="299"/>
      <c r="FL15" s="299"/>
      <c r="FM15" s="299"/>
      <c r="FN15" s="299"/>
      <c r="FO15" s="299"/>
      <c r="FP15" s="299"/>
      <c r="FQ15" s="299"/>
      <c r="FR15" s="299"/>
      <c r="FS15" s="299"/>
      <c r="FT15" s="299"/>
      <c r="FU15" s="299"/>
      <c r="FV15" s="299"/>
      <c r="FW15" s="299"/>
      <c r="FX15" s="299"/>
      <c r="FY15" s="299"/>
      <c r="FZ15" s="299"/>
      <c r="GA15" s="299"/>
      <c r="GB15" s="299"/>
      <c r="GC15" s="299"/>
      <c r="GD15" s="299"/>
      <c r="GE15" s="299"/>
      <c r="GF15" s="299"/>
      <c r="GG15" s="299"/>
      <c r="GH15" s="299"/>
      <c r="GI15" s="299"/>
      <c r="GJ15" s="299"/>
      <c r="GK15" s="299"/>
      <c r="GL15" s="299"/>
      <c r="GM15" s="299"/>
      <c r="GN15" s="299"/>
      <c r="GO15" s="299"/>
      <c r="GP15" s="299"/>
      <c r="GQ15" s="299"/>
      <c r="GR15" s="299"/>
      <c r="GS15" s="299"/>
      <c r="GT15" s="299"/>
      <c r="GU15" s="299"/>
      <c r="GV15" s="299"/>
      <c r="GW15" s="299"/>
      <c r="GX15" s="299"/>
      <c r="GY15" s="299"/>
      <c r="GZ15" s="299"/>
      <c r="HA15" s="299"/>
      <c r="HB15" s="299"/>
      <c r="HC15" s="299"/>
      <c r="HD15" s="299"/>
      <c r="HE15" s="299"/>
      <c r="HF15" s="299"/>
      <c r="HG15" s="299"/>
      <c r="HH15" s="299"/>
      <c r="HI15" s="299"/>
      <c r="HJ15" s="299"/>
      <c r="HK15" s="299"/>
      <c r="HL15" s="299"/>
      <c r="HM15" s="299"/>
      <c r="HN15" s="299"/>
      <c r="HO15" s="299"/>
      <c r="HP15" s="299"/>
      <c r="HQ15" s="299"/>
      <c r="HR15" s="299"/>
      <c r="HS15" s="299"/>
      <c r="HT15" s="299"/>
      <c r="HU15" s="299"/>
      <c r="HV15" s="299"/>
      <c r="HW15" s="299"/>
      <c r="HX15" s="299"/>
      <c r="HY15" s="299"/>
      <c r="HZ15" s="299"/>
      <c r="IA15" s="299"/>
      <c r="IB15" s="299"/>
      <c r="IC15" s="299"/>
      <c r="ID15" s="299"/>
      <c r="IE15" s="299"/>
      <c r="IF15" s="299"/>
      <c r="IG15" s="299"/>
      <c r="IH15" s="299"/>
      <c r="II15" s="299"/>
      <c r="IJ15" s="299"/>
      <c r="IK15" s="299"/>
      <c r="IL15" s="299"/>
      <c r="IM15" s="299"/>
      <c r="IN15" s="299"/>
      <c r="IO15" s="299"/>
      <c r="IP15" s="299"/>
      <c r="IQ15" s="299"/>
      <c r="IR15" s="299"/>
      <c r="IS15" s="299"/>
      <c r="IT15" s="299"/>
      <c r="IU15" s="299"/>
      <c r="IV15" s="299"/>
    </row>
    <row r="16" spans="1:256" s="237" customFormat="1" ht="15.75">
      <c r="A16" s="254"/>
      <c r="B16" s="254"/>
      <c r="C16" s="254"/>
      <c r="D16" s="254"/>
      <c r="E16" s="254"/>
      <c r="F16" s="245"/>
      <c r="G16" s="257" t="s">
        <v>6</v>
      </c>
      <c r="H16" s="258">
        <f>H10+H13+H14+H15</f>
        <v>5.3988</v>
      </c>
      <c r="I16" s="295"/>
      <c r="J16" s="296"/>
      <c r="K16" s="296"/>
      <c r="L16" s="296"/>
      <c r="M16" s="296"/>
      <c r="N16" s="296"/>
      <c r="O16" s="296"/>
      <c r="P16" s="296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9"/>
      <c r="FV16" s="299"/>
      <c r="FW16" s="299"/>
      <c r="FX16" s="299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9"/>
      <c r="GL16" s="299"/>
      <c r="GM16" s="299"/>
      <c r="GN16" s="299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9"/>
      <c r="HB16" s="299"/>
      <c r="HC16" s="299"/>
      <c r="HD16" s="299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9"/>
      <c r="HR16" s="299"/>
      <c r="HS16" s="299"/>
      <c r="HT16" s="299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9"/>
      <c r="IH16" s="299"/>
      <c r="II16" s="299"/>
      <c r="IJ16" s="299"/>
      <c r="IK16" s="299"/>
      <c r="IL16" s="299"/>
      <c r="IM16" s="299"/>
      <c r="IN16" s="299"/>
      <c r="IO16" s="299"/>
      <c r="IP16" s="299"/>
      <c r="IQ16" s="299"/>
      <c r="IR16" s="299"/>
      <c r="IS16" s="299"/>
      <c r="IT16" s="299"/>
      <c r="IU16" s="299"/>
      <c r="IV16" s="299"/>
    </row>
    <row r="17" spans="1:256" s="237" customFormat="1" ht="15.75">
      <c r="A17" s="245"/>
      <c r="B17" s="245"/>
      <c r="C17" s="245"/>
      <c r="D17" s="245"/>
      <c r="E17" s="245"/>
      <c r="F17" s="245"/>
      <c r="G17" s="245"/>
      <c r="H17" s="245"/>
      <c r="I17" s="295"/>
      <c r="J17" s="296"/>
      <c r="K17" s="296"/>
      <c r="L17" s="296"/>
      <c r="M17" s="296"/>
      <c r="N17" s="296"/>
      <c r="O17" s="296"/>
      <c r="P17" s="296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  <c r="FF17" s="299"/>
      <c r="FG17" s="299"/>
      <c r="FH17" s="299"/>
      <c r="FI17" s="299"/>
      <c r="FJ17" s="299"/>
      <c r="FK17" s="299"/>
      <c r="FL17" s="299"/>
      <c r="FM17" s="299"/>
      <c r="FN17" s="299"/>
      <c r="FO17" s="299"/>
      <c r="FP17" s="299"/>
      <c r="FQ17" s="299"/>
      <c r="FR17" s="299"/>
      <c r="FS17" s="299"/>
      <c r="FT17" s="299"/>
      <c r="FU17" s="299"/>
      <c r="FV17" s="299"/>
      <c r="FW17" s="299"/>
      <c r="FX17" s="299"/>
      <c r="FY17" s="299"/>
      <c r="FZ17" s="299"/>
      <c r="GA17" s="299"/>
      <c r="GB17" s="299"/>
      <c r="GC17" s="299"/>
      <c r="GD17" s="299"/>
      <c r="GE17" s="299"/>
      <c r="GF17" s="299"/>
      <c r="GG17" s="299"/>
      <c r="GH17" s="299"/>
      <c r="GI17" s="299"/>
      <c r="GJ17" s="299"/>
      <c r="GK17" s="299"/>
      <c r="GL17" s="299"/>
      <c r="GM17" s="299"/>
      <c r="GN17" s="299"/>
      <c r="GO17" s="299"/>
      <c r="GP17" s="299"/>
      <c r="GQ17" s="299"/>
      <c r="GR17" s="299"/>
      <c r="GS17" s="299"/>
      <c r="GT17" s="299"/>
      <c r="GU17" s="299"/>
      <c r="GV17" s="299"/>
      <c r="GW17" s="299"/>
      <c r="GX17" s="299"/>
      <c r="GY17" s="299"/>
      <c r="GZ17" s="299"/>
      <c r="HA17" s="299"/>
      <c r="HB17" s="299"/>
      <c r="HC17" s="299"/>
      <c r="HD17" s="299"/>
      <c r="HE17" s="299"/>
      <c r="HF17" s="299"/>
      <c r="HG17" s="299"/>
      <c r="HH17" s="299"/>
      <c r="HI17" s="299"/>
      <c r="HJ17" s="299"/>
      <c r="HK17" s="299"/>
      <c r="HL17" s="299"/>
      <c r="HM17" s="299"/>
      <c r="HN17" s="299"/>
      <c r="HO17" s="299"/>
      <c r="HP17" s="299"/>
      <c r="HQ17" s="299"/>
      <c r="HR17" s="299"/>
      <c r="HS17" s="299"/>
      <c r="HT17" s="299"/>
      <c r="HU17" s="299"/>
      <c r="HV17" s="299"/>
      <c r="HW17" s="299"/>
      <c r="HX17" s="299"/>
      <c r="HY17" s="299"/>
      <c r="HZ17" s="299"/>
      <c r="IA17" s="299"/>
      <c r="IB17" s="299"/>
      <c r="IC17" s="299"/>
      <c r="ID17" s="299"/>
      <c r="IE17" s="299"/>
      <c r="IF17" s="299"/>
      <c r="IG17" s="299"/>
      <c r="IH17" s="299"/>
      <c r="II17" s="299"/>
      <c r="IJ17" s="299"/>
      <c r="IK17" s="299"/>
      <c r="IL17" s="299"/>
      <c r="IM17" s="299"/>
      <c r="IN17" s="299"/>
      <c r="IO17" s="299"/>
      <c r="IP17" s="299"/>
      <c r="IQ17" s="299"/>
      <c r="IR17" s="299"/>
      <c r="IS17" s="299"/>
      <c r="IT17" s="299"/>
      <c r="IU17" s="299"/>
      <c r="IV17" s="299"/>
    </row>
    <row r="18" spans="1:256" s="237" customFormat="1" ht="15.75">
      <c r="A18" s="249" t="s">
        <v>258</v>
      </c>
      <c r="B18" s="249"/>
      <c r="C18" s="249"/>
      <c r="D18" s="249"/>
      <c r="E18" s="249"/>
      <c r="F18" s="249"/>
      <c r="G18" s="249"/>
      <c r="H18" s="250"/>
      <c r="I18" s="295"/>
      <c r="J18" s="296"/>
      <c r="K18" s="296"/>
      <c r="L18" s="296"/>
      <c r="M18" s="296"/>
      <c r="N18" s="296"/>
      <c r="O18" s="296"/>
      <c r="P18" s="297"/>
      <c r="Q18" s="298"/>
      <c r="R18" s="299"/>
      <c r="S18" s="299"/>
      <c r="T18" s="299"/>
      <c r="U18" s="299"/>
      <c r="V18" s="299"/>
      <c r="W18" s="299"/>
      <c r="X18" s="300"/>
      <c r="Y18" s="298"/>
      <c r="Z18" s="299"/>
      <c r="AA18" s="299"/>
      <c r="AB18" s="299"/>
      <c r="AC18" s="299"/>
      <c r="AD18" s="299"/>
      <c r="AE18" s="299"/>
      <c r="AF18" s="300"/>
      <c r="AG18" s="298"/>
      <c r="AH18" s="299"/>
      <c r="AI18" s="299"/>
      <c r="AJ18" s="299"/>
      <c r="AK18" s="299"/>
      <c r="AL18" s="299"/>
      <c r="AM18" s="299"/>
      <c r="AN18" s="300"/>
      <c r="AO18" s="298"/>
      <c r="AP18" s="299"/>
      <c r="AQ18" s="299"/>
      <c r="AR18" s="299"/>
      <c r="AS18" s="299"/>
      <c r="AT18" s="299"/>
      <c r="AU18" s="299"/>
      <c r="AV18" s="300"/>
      <c r="AW18" s="298"/>
      <c r="AX18" s="299"/>
      <c r="AY18" s="299"/>
      <c r="AZ18" s="299"/>
      <c r="BA18" s="299"/>
      <c r="BB18" s="299"/>
      <c r="BC18" s="299"/>
      <c r="BD18" s="300"/>
      <c r="BE18" s="298"/>
      <c r="BF18" s="299"/>
      <c r="BG18" s="299"/>
      <c r="BH18" s="299"/>
      <c r="BI18" s="299"/>
      <c r="BJ18" s="299"/>
      <c r="BK18" s="299"/>
      <c r="BL18" s="300"/>
      <c r="BM18" s="298"/>
      <c r="BN18" s="299"/>
      <c r="BO18" s="299"/>
      <c r="BP18" s="299"/>
      <c r="BQ18" s="299"/>
      <c r="BR18" s="299"/>
      <c r="BS18" s="299"/>
      <c r="BT18" s="300"/>
      <c r="BU18" s="298"/>
      <c r="BV18" s="299"/>
      <c r="BW18" s="299"/>
      <c r="BX18" s="299"/>
      <c r="BY18" s="299"/>
      <c r="BZ18" s="299"/>
      <c r="CA18" s="299"/>
      <c r="CB18" s="300"/>
      <c r="CC18" s="298"/>
      <c r="CD18" s="299"/>
      <c r="CE18" s="299"/>
      <c r="CF18" s="299"/>
      <c r="CG18" s="299"/>
      <c r="CH18" s="299"/>
      <c r="CI18" s="299"/>
      <c r="CJ18" s="300"/>
      <c r="CK18" s="298"/>
      <c r="CL18" s="299"/>
      <c r="CM18" s="299"/>
      <c r="CN18" s="299"/>
      <c r="CO18" s="299"/>
      <c r="CP18" s="299"/>
      <c r="CQ18" s="299"/>
      <c r="CR18" s="300"/>
      <c r="CS18" s="298"/>
      <c r="CT18" s="299"/>
      <c r="CU18" s="299"/>
      <c r="CV18" s="299"/>
      <c r="CW18" s="299"/>
      <c r="CX18" s="299"/>
      <c r="CY18" s="299"/>
      <c r="CZ18" s="300"/>
      <c r="DA18" s="298"/>
      <c r="DB18" s="299"/>
      <c r="DC18" s="299"/>
      <c r="DD18" s="299"/>
      <c r="DE18" s="299"/>
      <c r="DF18" s="299"/>
      <c r="DG18" s="299"/>
      <c r="DH18" s="300"/>
      <c r="DI18" s="298"/>
      <c r="DJ18" s="299"/>
      <c r="DK18" s="299"/>
      <c r="DL18" s="299"/>
      <c r="DM18" s="299"/>
      <c r="DN18" s="299"/>
      <c r="DO18" s="299"/>
      <c r="DP18" s="300"/>
      <c r="DQ18" s="298"/>
      <c r="DR18" s="299"/>
      <c r="DS18" s="299"/>
      <c r="DT18" s="299"/>
      <c r="DU18" s="299"/>
      <c r="DV18" s="299"/>
      <c r="DW18" s="299"/>
      <c r="DX18" s="300"/>
      <c r="DY18" s="298"/>
      <c r="DZ18" s="299"/>
      <c r="EA18" s="299"/>
      <c r="EB18" s="299"/>
      <c r="EC18" s="299"/>
      <c r="ED18" s="299"/>
      <c r="EE18" s="299"/>
      <c r="EF18" s="300"/>
      <c r="EG18" s="298"/>
      <c r="EH18" s="299"/>
      <c r="EI18" s="299"/>
      <c r="EJ18" s="299"/>
      <c r="EK18" s="299"/>
      <c r="EL18" s="299"/>
      <c r="EM18" s="299"/>
      <c r="EN18" s="300"/>
      <c r="EO18" s="298"/>
      <c r="EP18" s="299"/>
      <c r="EQ18" s="299"/>
      <c r="ER18" s="299"/>
      <c r="ES18" s="299"/>
      <c r="ET18" s="299"/>
      <c r="EU18" s="299"/>
      <c r="EV18" s="300"/>
      <c r="EW18" s="298"/>
      <c r="EX18" s="299"/>
      <c r="EY18" s="299"/>
      <c r="EZ18" s="299"/>
      <c r="FA18" s="299"/>
      <c r="FB18" s="299"/>
      <c r="FC18" s="299"/>
      <c r="FD18" s="300"/>
      <c r="FE18" s="298"/>
      <c r="FF18" s="299"/>
      <c r="FG18" s="299"/>
      <c r="FH18" s="299"/>
      <c r="FI18" s="299"/>
      <c r="FJ18" s="299"/>
      <c r="FK18" s="299"/>
      <c r="FL18" s="300"/>
      <c r="FM18" s="298"/>
      <c r="FN18" s="299"/>
      <c r="FO18" s="299"/>
      <c r="FP18" s="299"/>
      <c r="FQ18" s="299"/>
      <c r="FR18" s="299"/>
      <c r="FS18" s="299"/>
      <c r="FT18" s="300"/>
      <c r="FU18" s="298"/>
      <c r="FV18" s="299"/>
      <c r="FW18" s="299"/>
      <c r="FX18" s="299"/>
      <c r="FY18" s="299"/>
      <c r="FZ18" s="299"/>
      <c r="GA18" s="299"/>
      <c r="GB18" s="300"/>
      <c r="GC18" s="298"/>
      <c r="GD18" s="299"/>
      <c r="GE18" s="299"/>
      <c r="GF18" s="299"/>
      <c r="GG18" s="299"/>
      <c r="GH18" s="299"/>
      <c r="GI18" s="299"/>
      <c r="GJ18" s="300"/>
      <c r="GK18" s="298"/>
      <c r="GL18" s="299"/>
      <c r="GM18" s="299"/>
      <c r="GN18" s="299"/>
      <c r="GO18" s="299"/>
      <c r="GP18" s="299"/>
      <c r="GQ18" s="299"/>
      <c r="GR18" s="300"/>
      <c r="GS18" s="298"/>
      <c r="GT18" s="299"/>
      <c r="GU18" s="299"/>
      <c r="GV18" s="299"/>
      <c r="GW18" s="299"/>
      <c r="GX18" s="299"/>
      <c r="GY18" s="299"/>
      <c r="GZ18" s="300"/>
      <c r="HA18" s="298"/>
      <c r="HB18" s="299"/>
      <c r="HC18" s="299"/>
      <c r="HD18" s="299"/>
      <c r="HE18" s="299"/>
      <c r="HF18" s="299"/>
      <c r="HG18" s="299"/>
      <c r="HH18" s="300"/>
      <c r="HI18" s="298"/>
      <c r="HJ18" s="299"/>
      <c r="HK18" s="299"/>
      <c r="HL18" s="299"/>
      <c r="HM18" s="299"/>
      <c r="HN18" s="299"/>
      <c r="HO18" s="299"/>
      <c r="HP18" s="300"/>
      <c r="HQ18" s="298"/>
      <c r="HR18" s="299"/>
      <c r="HS18" s="299"/>
      <c r="HT18" s="299"/>
      <c r="HU18" s="299"/>
      <c r="HV18" s="299"/>
      <c r="HW18" s="299"/>
      <c r="HX18" s="300"/>
      <c r="HY18" s="298"/>
      <c r="HZ18" s="299"/>
      <c r="IA18" s="299"/>
      <c r="IB18" s="299"/>
      <c r="IC18" s="299"/>
      <c r="ID18" s="299"/>
      <c r="IE18" s="299"/>
      <c r="IF18" s="300"/>
      <c r="IG18" s="298"/>
      <c r="IH18" s="299"/>
      <c r="II18" s="299"/>
      <c r="IJ18" s="299"/>
      <c r="IK18" s="299"/>
      <c r="IL18" s="299"/>
      <c r="IM18" s="299"/>
      <c r="IN18" s="300"/>
      <c r="IO18" s="298"/>
      <c r="IP18" s="298"/>
      <c r="IQ18" s="298"/>
      <c r="IR18" s="298"/>
      <c r="IS18" s="298"/>
      <c r="IT18" s="298"/>
      <c r="IU18" s="298"/>
      <c r="IV18" s="298"/>
    </row>
    <row r="19" spans="1:9" ht="15.75">
      <c r="A19" s="245"/>
      <c r="B19" s="245"/>
      <c r="C19" s="245"/>
      <c r="D19" s="245"/>
      <c r="E19" s="245"/>
      <c r="F19" s="245"/>
      <c r="G19" s="245"/>
      <c r="H19" s="245"/>
      <c r="I19" s="295"/>
    </row>
    <row r="20" spans="1:256" s="237" customFormat="1" ht="15.75">
      <c r="A20" s="249" t="s">
        <v>259</v>
      </c>
      <c r="B20" s="249"/>
      <c r="C20" s="249"/>
      <c r="D20" s="249"/>
      <c r="E20" s="249"/>
      <c r="F20" s="249"/>
      <c r="G20" s="249"/>
      <c r="H20" s="250"/>
      <c r="I20" s="295"/>
      <c r="J20" s="296"/>
      <c r="K20" s="296"/>
      <c r="L20" s="296"/>
      <c r="M20" s="296"/>
      <c r="N20" s="296"/>
      <c r="O20" s="296"/>
      <c r="P20" s="297"/>
      <c r="Q20" s="298"/>
      <c r="R20" s="299"/>
      <c r="S20" s="299"/>
      <c r="T20" s="299"/>
      <c r="U20" s="299"/>
      <c r="V20" s="299"/>
      <c r="W20" s="299"/>
      <c r="X20" s="300"/>
      <c r="Y20" s="298"/>
      <c r="Z20" s="299"/>
      <c r="AA20" s="299"/>
      <c r="AB20" s="299"/>
      <c r="AC20" s="299"/>
      <c r="AD20" s="299"/>
      <c r="AE20" s="299"/>
      <c r="AF20" s="300"/>
      <c r="AG20" s="298"/>
      <c r="AH20" s="299"/>
      <c r="AI20" s="299"/>
      <c r="AJ20" s="299"/>
      <c r="AK20" s="299"/>
      <c r="AL20" s="299"/>
      <c r="AM20" s="299"/>
      <c r="AN20" s="300"/>
      <c r="AO20" s="298"/>
      <c r="AP20" s="299"/>
      <c r="AQ20" s="299"/>
      <c r="AR20" s="299"/>
      <c r="AS20" s="299"/>
      <c r="AT20" s="299"/>
      <c r="AU20" s="299"/>
      <c r="AV20" s="300"/>
      <c r="AW20" s="298"/>
      <c r="AX20" s="299"/>
      <c r="AY20" s="299"/>
      <c r="AZ20" s="299"/>
      <c r="BA20" s="299"/>
      <c r="BB20" s="299"/>
      <c r="BC20" s="299"/>
      <c r="BD20" s="300"/>
      <c r="BE20" s="298"/>
      <c r="BF20" s="299"/>
      <c r="BG20" s="299"/>
      <c r="BH20" s="299"/>
      <c r="BI20" s="299"/>
      <c r="BJ20" s="299"/>
      <c r="BK20" s="299"/>
      <c r="BL20" s="300"/>
      <c r="BM20" s="298"/>
      <c r="BN20" s="299"/>
      <c r="BO20" s="299"/>
      <c r="BP20" s="299"/>
      <c r="BQ20" s="299"/>
      <c r="BR20" s="299"/>
      <c r="BS20" s="299"/>
      <c r="BT20" s="300"/>
      <c r="BU20" s="298"/>
      <c r="BV20" s="299"/>
      <c r="BW20" s="299"/>
      <c r="BX20" s="299"/>
      <c r="BY20" s="299"/>
      <c r="BZ20" s="299"/>
      <c r="CA20" s="299"/>
      <c r="CB20" s="300"/>
      <c r="CC20" s="298"/>
      <c r="CD20" s="299"/>
      <c r="CE20" s="299"/>
      <c r="CF20" s="299"/>
      <c r="CG20" s="299"/>
      <c r="CH20" s="299"/>
      <c r="CI20" s="299"/>
      <c r="CJ20" s="300"/>
      <c r="CK20" s="298"/>
      <c r="CL20" s="299"/>
      <c r="CM20" s="299"/>
      <c r="CN20" s="299"/>
      <c r="CO20" s="299"/>
      <c r="CP20" s="299"/>
      <c r="CQ20" s="299"/>
      <c r="CR20" s="300"/>
      <c r="CS20" s="298"/>
      <c r="CT20" s="299"/>
      <c r="CU20" s="299"/>
      <c r="CV20" s="299"/>
      <c r="CW20" s="299"/>
      <c r="CX20" s="299"/>
      <c r="CY20" s="299"/>
      <c r="CZ20" s="300"/>
      <c r="DA20" s="298"/>
      <c r="DB20" s="299"/>
      <c r="DC20" s="299"/>
      <c r="DD20" s="299"/>
      <c r="DE20" s="299"/>
      <c r="DF20" s="299"/>
      <c r="DG20" s="299"/>
      <c r="DH20" s="300"/>
      <c r="DI20" s="298"/>
      <c r="DJ20" s="299"/>
      <c r="DK20" s="299"/>
      <c r="DL20" s="299"/>
      <c r="DM20" s="299"/>
      <c r="DN20" s="299"/>
      <c r="DO20" s="299"/>
      <c r="DP20" s="300"/>
      <c r="DQ20" s="298"/>
      <c r="DR20" s="299"/>
      <c r="DS20" s="299"/>
      <c r="DT20" s="299"/>
      <c r="DU20" s="299"/>
      <c r="DV20" s="299"/>
      <c r="DW20" s="299"/>
      <c r="DX20" s="300"/>
      <c r="DY20" s="298"/>
      <c r="DZ20" s="299"/>
      <c r="EA20" s="299"/>
      <c r="EB20" s="299"/>
      <c r="EC20" s="299"/>
      <c r="ED20" s="299"/>
      <c r="EE20" s="299"/>
      <c r="EF20" s="300"/>
      <c r="EG20" s="298"/>
      <c r="EH20" s="299"/>
      <c r="EI20" s="299"/>
      <c r="EJ20" s="299"/>
      <c r="EK20" s="299"/>
      <c r="EL20" s="299"/>
      <c r="EM20" s="299"/>
      <c r="EN20" s="300"/>
      <c r="EO20" s="298"/>
      <c r="EP20" s="299"/>
      <c r="EQ20" s="299"/>
      <c r="ER20" s="299"/>
      <c r="ES20" s="299"/>
      <c r="ET20" s="299"/>
      <c r="EU20" s="299"/>
      <c r="EV20" s="300"/>
      <c r="EW20" s="298"/>
      <c r="EX20" s="299"/>
      <c r="EY20" s="299"/>
      <c r="EZ20" s="299"/>
      <c r="FA20" s="299"/>
      <c r="FB20" s="299"/>
      <c r="FC20" s="299"/>
      <c r="FD20" s="300"/>
      <c r="FE20" s="298"/>
      <c r="FF20" s="299"/>
      <c r="FG20" s="299"/>
      <c r="FH20" s="299"/>
      <c r="FI20" s="299"/>
      <c r="FJ20" s="299"/>
      <c r="FK20" s="299"/>
      <c r="FL20" s="300"/>
      <c r="FM20" s="298"/>
      <c r="FN20" s="299"/>
      <c r="FO20" s="299"/>
      <c r="FP20" s="299"/>
      <c r="FQ20" s="299"/>
      <c r="FR20" s="299"/>
      <c r="FS20" s="299"/>
      <c r="FT20" s="300"/>
      <c r="FU20" s="298"/>
      <c r="FV20" s="299"/>
      <c r="FW20" s="299"/>
      <c r="FX20" s="299"/>
      <c r="FY20" s="299"/>
      <c r="FZ20" s="299"/>
      <c r="GA20" s="299"/>
      <c r="GB20" s="300"/>
      <c r="GC20" s="298"/>
      <c r="GD20" s="299"/>
      <c r="GE20" s="299"/>
      <c r="GF20" s="299"/>
      <c r="GG20" s="299"/>
      <c r="GH20" s="299"/>
      <c r="GI20" s="299"/>
      <c r="GJ20" s="300"/>
      <c r="GK20" s="298"/>
      <c r="GL20" s="299"/>
      <c r="GM20" s="299"/>
      <c r="GN20" s="299"/>
      <c r="GO20" s="299"/>
      <c r="GP20" s="299"/>
      <c r="GQ20" s="299"/>
      <c r="GR20" s="300"/>
      <c r="GS20" s="298"/>
      <c r="GT20" s="299"/>
      <c r="GU20" s="299"/>
      <c r="GV20" s="299"/>
      <c r="GW20" s="299"/>
      <c r="GX20" s="299"/>
      <c r="GY20" s="299"/>
      <c r="GZ20" s="300"/>
      <c r="HA20" s="298"/>
      <c r="HB20" s="299"/>
      <c r="HC20" s="299"/>
      <c r="HD20" s="299"/>
      <c r="HE20" s="299"/>
      <c r="HF20" s="299"/>
      <c r="HG20" s="299"/>
      <c r="HH20" s="300"/>
      <c r="HI20" s="298"/>
      <c r="HJ20" s="299"/>
      <c r="HK20" s="299"/>
      <c r="HL20" s="299"/>
      <c r="HM20" s="299"/>
      <c r="HN20" s="299"/>
      <c r="HO20" s="299"/>
      <c r="HP20" s="300"/>
      <c r="HQ20" s="298"/>
      <c r="HR20" s="299"/>
      <c r="HS20" s="299"/>
      <c r="HT20" s="299"/>
      <c r="HU20" s="299"/>
      <c r="HV20" s="299"/>
      <c r="HW20" s="299"/>
      <c r="HX20" s="300"/>
      <c r="HY20" s="298"/>
      <c r="HZ20" s="299"/>
      <c r="IA20" s="299"/>
      <c r="IB20" s="299"/>
      <c r="IC20" s="299"/>
      <c r="ID20" s="299"/>
      <c r="IE20" s="299"/>
      <c r="IF20" s="300"/>
      <c r="IG20" s="298"/>
      <c r="IH20" s="299"/>
      <c r="II20" s="299"/>
      <c r="IJ20" s="299"/>
      <c r="IK20" s="299"/>
      <c r="IL20" s="299"/>
      <c r="IM20" s="299"/>
      <c r="IN20" s="300"/>
      <c r="IO20" s="298"/>
      <c r="IP20" s="298"/>
      <c r="IQ20" s="298"/>
      <c r="IR20" s="298"/>
      <c r="IS20" s="298"/>
      <c r="IT20" s="298"/>
      <c r="IU20" s="298"/>
      <c r="IV20" s="298"/>
    </row>
    <row r="21" spans="1:9" ht="31.5">
      <c r="A21" s="251" t="s">
        <v>249</v>
      </c>
      <c r="B21" s="251"/>
      <c r="C21" s="251"/>
      <c r="D21" s="251"/>
      <c r="E21" s="251"/>
      <c r="F21" s="251"/>
      <c r="G21" s="252" t="s">
        <v>260</v>
      </c>
      <c r="H21" s="253" t="s">
        <v>251</v>
      </c>
      <c r="I21" s="295"/>
    </row>
    <row r="22" spans="1:9" ht="15.75">
      <c r="A22" s="254" t="s">
        <v>255</v>
      </c>
      <c r="B22" s="254"/>
      <c r="C22" s="254"/>
      <c r="D22" s="254"/>
      <c r="E22" s="254"/>
      <c r="F22" s="254"/>
      <c r="G22" s="255">
        <f>0.6*0.6+0.2*0.2</f>
        <v>0.4</v>
      </c>
      <c r="H22" s="256">
        <f>G22</f>
        <v>0.4</v>
      </c>
      <c r="I22" s="295"/>
    </row>
    <row r="23" spans="1:9" ht="15.75">
      <c r="A23" s="254" t="s">
        <v>261</v>
      </c>
      <c r="B23" s="254"/>
      <c r="C23" s="254"/>
      <c r="D23" s="254"/>
      <c r="E23" s="254"/>
      <c r="F23" s="254"/>
      <c r="G23" s="255">
        <f>0.2*0.2</f>
        <v>0.04000000000000001</v>
      </c>
      <c r="H23" s="256">
        <f>G23</f>
        <v>0.04000000000000001</v>
      </c>
      <c r="I23" s="295"/>
    </row>
    <row r="24" spans="1:9" ht="15.75">
      <c r="A24" s="254" t="s">
        <v>262</v>
      </c>
      <c r="B24" s="254"/>
      <c r="C24" s="254"/>
      <c r="D24" s="254"/>
      <c r="E24" s="254"/>
      <c r="F24" s="254"/>
      <c r="G24" s="255">
        <f>0.2*0.2+0.2+0.2+0.3+0.3+0.7*0.6</f>
        <v>1.46</v>
      </c>
      <c r="H24" s="256">
        <f>G24</f>
        <v>1.46</v>
      </c>
      <c r="I24" s="295"/>
    </row>
    <row r="25" spans="1:9" ht="15.75">
      <c r="A25" s="254" t="s">
        <v>263</v>
      </c>
      <c r="B25" s="254"/>
      <c r="C25" s="254"/>
      <c r="D25" s="254"/>
      <c r="E25" s="254"/>
      <c r="F25" s="254"/>
      <c r="G25" s="255">
        <f>0.3*0.3</f>
        <v>0.09</v>
      </c>
      <c r="H25" s="256">
        <f>G25</f>
        <v>0.09</v>
      </c>
      <c r="I25" s="295"/>
    </row>
    <row r="26" spans="1:9" ht="12.75" customHeight="1">
      <c r="A26" s="259"/>
      <c r="B26" s="260"/>
      <c r="C26" s="260"/>
      <c r="D26" s="260"/>
      <c r="E26" s="260"/>
      <c r="F26" s="261"/>
      <c r="G26" s="262" t="s">
        <v>6</v>
      </c>
      <c r="H26" s="263">
        <f>SUM(H22:H25)</f>
        <v>1.99</v>
      </c>
      <c r="I26" s="295"/>
    </row>
    <row r="27" spans="1:9" ht="15.75">
      <c r="A27" s="264"/>
      <c r="B27" s="265"/>
      <c r="C27" s="265"/>
      <c r="D27" s="265"/>
      <c r="E27" s="265"/>
      <c r="F27" s="265"/>
      <c r="G27" s="265"/>
      <c r="H27" s="266"/>
      <c r="I27" s="295"/>
    </row>
    <row r="28" spans="1:9" ht="12.75" customHeight="1">
      <c r="A28" s="249" t="s">
        <v>264</v>
      </c>
      <c r="B28" s="249"/>
      <c r="C28" s="249"/>
      <c r="D28" s="249"/>
      <c r="E28" s="249"/>
      <c r="F28" s="249"/>
      <c r="G28" s="249"/>
      <c r="H28" s="250"/>
      <c r="I28" s="295"/>
    </row>
    <row r="29" spans="1:9" ht="31.5">
      <c r="A29" s="251" t="s">
        <v>249</v>
      </c>
      <c r="B29" s="251"/>
      <c r="C29" s="251"/>
      <c r="D29" s="251"/>
      <c r="E29" s="251"/>
      <c r="F29" s="251"/>
      <c r="G29" s="252" t="s">
        <v>260</v>
      </c>
      <c r="H29" s="253" t="s">
        <v>251</v>
      </c>
      <c r="I29" s="295"/>
    </row>
    <row r="30" spans="1:9" ht="15.75">
      <c r="A30" s="254" t="s">
        <v>255</v>
      </c>
      <c r="B30" s="254"/>
      <c r="C30" s="254"/>
      <c r="D30" s="254"/>
      <c r="E30" s="254"/>
      <c r="F30" s="254"/>
      <c r="G30" s="255">
        <f>0.2*0.2</f>
        <v>0.04000000000000001</v>
      </c>
      <c r="H30" s="256">
        <f>G30</f>
        <v>0.04000000000000001</v>
      </c>
      <c r="I30" s="295"/>
    </row>
    <row r="31" spans="1:9" ht="15.75">
      <c r="A31" s="254" t="s">
        <v>263</v>
      </c>
      <c r="B31" s="254"/>
      <c r="C31" s="254"/>
      <c r="D31" s="254"/>
      <c r="E31" s="254"/>
      <c r="F31" s="254"/>
      <c r="G31" s="255">
        <f>1.2*0.4</f>
        <v>0.48</v>
      </c>
      <c r="H31" s="256">
        <f>G31</f>
        <v>0.48</v>
      </c>
      <c r="I31" s="295"/>
    </row>
    <row r="32" spans="1:9" ht="12.75" customHeight="1">
      <c r="A32" s="267"/>
      <c r="B32" s="267"/>
      <c r="C32" s="267"/>
      <c r="D32" s="267"/>
      <c r="E32" s="267"/>
      <c r="F32" s="267"/>
      <c r="G32" s="257" t="s">
        <v>6</v>
      </c>
      <c r="H32" s="258">
        <f>SUM(H30:H31)</f>
        <v>0.52</v>
      </c>
      <c r="I32" s="295"/>
    </row>
    <row r="33" spans="1:9" ht="15.75">
      <c r="A33" s="268"/>
      <c r="B33" s="268"/>
      <c r="C33" s="268"/>
      <c r="D33" s="268"/>
      <c r="E33" s="268"/>
      <c r="F33" s="268"/>
      <c r="G33" s="268"/>
      <c r="H33" s="268"/>
      <c r="I33" s="295"/>
    </row>
    <row r="34" spans="1:256" s="237" customFormat="1" ht="15.75">
      <c r="A34" s="249" t="s">
        <v>265</v>
      </c>
      <c r="B34" s="249"/>
      <c r="C34" s="249"/>
      <c r="D34" s="249"/>
      <c r="E34" s="249"/>
      <c r="F34" s="249"/>
      <c r="G34" s="249"/>
      <c r="H34" s="250"/>
      <c r="I34" s="295"/>
      <c r="J34" s="296"/>
      <c r="K34" s="296"/>
      <c r="L34" s="296"/>
      <c r="M34" s="296"/>
      <c r="N34" s="296"/>
      <c r="O34" s="296"/>
      <c r="P34" s="297"/>
      <c r="Q34" s="298"/>
      <c r="R34" s="299"/>
      <c r="S34" s="299"/>
      <c r="T34" s="299"/>
      <c r="U34" s="299"/>
      <c r="V34" s="299"/>
      <c r="W34" s="299"/>
      <c r="X34" s="300"/>
      <c r="Y34" s="298"/>
      <c r="Z34" s="299"/>
      <c r="AA34" s="299"/>
      <c r="AB34" s="299"/>
      <c r="AC34" s="299"/>
      <c r="AD34" s="299"/>
      <c r="AE34" s="299"/>
      <c r="AF34" s="300"/>
      <c r="AG34" s="298"/>
      <c r="AH34" s="299"/>
      <c r="AI34" s="299"/>
      <c r="AJ34" s="299"/>
      <c r="AK34" s="299"/>
      <c r="AL34" s="299"/>
      <c r="AM34" s="299"/>
      <c r="AN34" s="300"/>
      <c r="AO34" s="298"/>
      <c r="AP34" s="299"/>
      <c r="AQ34" s="299"/>
      <c r="AR34" s="299"/>
      <c r="AS34" s="299"/>
      <c r="AT34" s="299"/>
      <c r="AU34" s="299"/>
      <c r="AV34" s="300"/>
      <c r="AW34" s="298"/>
      <c r="AX34" s="299"/>
      <c r="AY34" s="299"/>
      <c r="AZ34" s="299"/>
      <c r="BA34" s="299"/>
      <c r="BB34" s="299"/>
      <c r="BC34" s="299"/>
      <c r="BD34" s="300"/>
      <c r="BE34" s="298"/>
      <c r="BF34" s="299"/>
      <c r="BG34" s="299"/>
      <c r="BH34" s="299"/>
      <c r="BI34" s="299"/>
      <c r="BJ34" s="299"/>
      <c r="BK34" s="299"/>
      <c r="BL34" s="300"/>
      <c r="BM34" s="298"/>
      <c r="BN34" s="299"/>
      <c r="BO34" s="299"/>
      <c r="BP34" s="299"/>
      <c r="BQ34" s="299"/>
      <c r="BR34" s="299"/>
      <c r="BS34" s="299"/>
      <c r="BT34" s="300"/>
      <c r="BU34" s="298"/>
      <c r="BV34" s="299"/>
      <c r="BW34" s="299"/>
      <c r="BX34" s="299"/>
      <c r="BY34" s="299"/>
      <c r="BZ34" s="299"/>
      <c r="CA34" s="299"/>
      <c r="CB34" s="300"/>
      <c r="CC34" s="298"/>
      <c r="CD34" s="299"/>
      <c r="CE34" s="299"/>
      <c r="CF34" s="299"/>
      <c r="CG34" s="299"/>
      <c r="CH34" s="299"/>
      <c r="CI34" s="299"/>
      <c r="CJ34" s="300"/>
      <c r="CK34" s="298"/>
      <c r="CL34" s="299"/>
      <c r="CM34" s="299"/>
      <c r="CN34" s="299"/>
      <c r="CO34" s="299"/>
      <c r="CP34" s="299"/>
      <c r="CQ34" s="299"/>
      <c r="CR34" s="300"/>
      <c r="CS34" s="298"/>
      <c r="CT34" s="299"/>
      <c r="CU34" s="299"/>
      <c r="CV34" s="299"/>
      <c r="CW34" s="299"/>
      <c r="CX34" s="299"/>
      <c r="CY34" s="299"/>
      <c r="CZ34" s="300"/>
      <c r="DA34" s="298"/>
      <c r="DB34" s="299"/>
      <c r="DC34" s="299"/>
      <c r="DD34" s="299"/>
      <c r="DE34" s="299"/>
      <c r="DF34" s="299"/>
      <c r="DG34" s="299"/>
      <c r="DH34" s="300"/>
      <c r="DI34" s="298"/>
      <c r="DJ34" s="299"/>
      <c r="DK34" s="299"/>
      <c r="DL34" s="299"/>
      <c r="DM34" s="299"/>
      <c r="DN34" s="299"/>
      <c r="DO34" s="299"/>
      <c r="DP34" s="300"/>
      <c r="DQ34" s="298"/>
      <c r="DR34" s="299"/>
      <c r="DS34" s="299"/>
      <c r="DT34" s="299"/>
      <c r="DU34" s="299"/>
      <c r="DV34" s="299"/>
      <c r="DW34" s="299"/>
      <c r="DX34" s="300"/>
      <c r="DY34" s="298"/>
      <c r="DZ34" s="299"/>
      <c r="EA34" s="299"/>
      <c r="EB34" s="299"/>
      <c r="EC34" s="299"/>
      <c r="ED34" s="299"/>
      <c r="EE34" s="299"/>
      <c r="EF34" s="300"/>
      <c r="EG34" s="298"/>
      <c r="EH34" s="299"/>
      <c r="EI34" s="299"/>
      <c r="EJ34" s="299"/>
      <c r="EK34" s="299"/>
      <c r="EL34" s="299"/>
      <c r="EM34" s="299"/>
      <c r="EN34" s="300"/>
      <c r="EO34" s="298"/>
      <c r="EP34" s="299"/>
      <c r="EQ34" s="299"/>
      <c r="ER34" s="299"/>
      <c r="ES34" s="299"/>
      <c r="ET34" s="299"/>
      <c r="EU34" s="299"/>
      <c r="EV34" s="300"/>
      <c r="EW34" s="298"/>
      <c r="EX34" s="299"/>
      <c r="EY34" s="299"/>
      <c r="EZ34" s="299"/>
      <c r="FA34" s="299"/>
      <c r="FB34" s="299"/>
      <c r="FC34" s="299"/>
      <c r="FD34" s="300"/>
      <c r="FE34" s="298"/>
      <c r="FF34" s="299"/>
      <c r="FG34" s="299"/>
      <c r="FH34" s="299"/>
      <c r="FI34" s="299"/>
      <c r="FJ34" s="299"/>
      <c r="FK34" s="299"/>
      <c r="FL34" s="300"/>
      <c r="FM34" s="298"/>
      <c r="FN34" s="299"/>
      <c r="FO34" s="299"/>
      <c r="FP34" s="299"/>
      <c r="FQ34" s="299"/>
      <c r="FR34" s="299"/>
      <c r="FS34" s="299"/>
      <c r="FT34" s="300"/>
      <c r="FU34" s="298"/>
      <c r="FV34" s="299"/>
      <c r="FW34" s="299"/>
      <c r="FX34" s="299"/>
      <c r="FY34" s="299"/>
      <c r="FZ34" s="299"/>
      <c r="GA34" s="299"/>
      <c r="GB34" s="300"/>
      <c r="GC34" s="298"/>
      <c r="GD34" s="299"/>
      <c r="GE34" s="299"/>
      <c r="GF34" s="299"/>
      <c r="GG34" s="299"/>
      <c r="GH34" s="299"/>
      <c r="GI34" s="299"/>
      <c r="GJ34" s="300"/>
      <c r="GK34" s="298"/>
      <c r="GL34" s="299"/>
      <c r="GM34" s="299"/>
      <c r="GN34" s="299"/>
      <c r="GO34" s="299"/>
      <c r="GP34" s="299"/>
      <c r="GQ34" s="299"/>
      <c r="GR34" s="300"/>
      <c r="GS34" s="298"/>
      <c r="GT34" s="299"/>
      <c r="GU34" s="299"/>
      <c r="GV34" s="299"/>
      <c r="GW34" s="299"/>
      <c r="GX34" s="299"/>
      <c r="GY34" s="299"/>
      <c r="GZ34" s="300"/>
      <c r="HA34" s="298"/>
      <c r="HB34" s="299"/>
      <c r="HC34" s="299"/>
      <c r="HD34" s="299"/>
      <c r="HE34" s="299"/>
      <c r="HF34" s="299"/>
      <c r="HG34" s="299"/>
      <c r="HH34" s="300"/>
      <c r="HI34" s="298"/>
      <c r="HJ34" s="299"/>
      <c r="HK34" s="299"/>
      <c r="HL34" s="299"/>
      <c r="HM34" s="299"/>
      <c r="HN34" s="299"/>
      <c r="HO34" s="299"/>
      <c r="HP34" s="300"/>
      <c r="HQ34" s="298"/>
      <c r="HR34" s="299"/>
      <c r="HS34" s="299"/>
      <c r="HT34" s="299"/>
      <c r="HU34" s="299"/>
      <c r="HV34" s="299"/>
      <c r="HW34" s="299"/>
      <c r="HX34" s="300"/>
      <c r="HY34" s="298"/>
      <c r="HZ34" s="299"/>
      <c r="IA34" s="299"/>
      <c r="IB34" s="299"/>
      <c r="IC34" s="299"/>
      <c r="ID34" s="299"/>
      <c r="IE34" s="299"/>
      <c r="IF34" s="300"/>
      <c r="IG34" s="298"/>
      <c r="IH34" s="299"/>
      <c r="II34" s="299"/>
      <c r="IJ34" s="299"/>
      <c r="IK34" s="299"/>
      <c r="IL34" s="299"/>
      <c r="IM34" s="299"/>
      <c r="IN34" s="300"/>
      <c r="IO34" s="298"/>
      <c r="IP34" s="298"/>
      <c r="IQ34" s="298"/>
      <c r="IR34" s="298"/>
      <c r="IS34" s="298"/>
      <c r="IT34" s="298"/>
      <c r="IU34" s="298"/>
      <c r="IV34" s="298"/>
    </row>
    <row r="35" spans="1:256" s="237" customFormat="1" ht="15.75">
      <c r="A35" s="249"/>
      <c r="B35" s="249"/>
      <c r="C35" s="249"/>
      <c r="D35" s="249"/>
      <c r="E35" s="249"/>
      <c r="F35" s="249"/>
      <c r="G35" s="249"/>
      <c r="H35" s="250"/>
      <c r="I35" s="295"/>
      <c r="J35" s="296"/>
      <c r="K35" s="296"/>
      <c r="L35" s="296"/>
      <c r="M35" s="296"/>
      <c r="N35" s="296"/>
      <c r="O35" s="296"/>
      <c r="P35" s="296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  <c r="DU35" s="299"/>
      <c r="DV35" s="299"/>
      <c r="DW35" s="299"/>
      <c r="DX35" s="299"/>
      <c r="DY35" s="299"/>
      <c r="DZ35" s="299"/>
      <c r="EA35" s="299"/>
      <c r="EB35" s="299"/>
      <c r="EC35" s="299"/>
      <c r="ED35" s="299"/>
      <c r="EE35" s="299"/>
      <c r="EF35" s="299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299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299"/>
      <c r="FL35" s="299"/>
      <c r="FM35" s="299"/>
      <c r="FN35" s="299"/>
      <c r="FO35" s="299"/>
      <c r="FP35" s="299"/>
      <c r="FQ35" s="299"/>
      <c r="FR35" s="299"/>
      <c r="FS35" s="299"/>
      <c r="FT35" s="299"/>
      <c r="FU35" s="299"/>
      <c r="FV35" s="299"/>
      <c r="FW35" s="299"/>
      <c r="FX35" s="299"/>
      <c r="FY35" s="299"/>
      <c r="FZ35" s="299"/>
      <c r="GA35" s="299"/>
      <c r="GB35" s="299"/>
      <c r="GC35" s="299"/>
      <c r="GD35" s="299"/>
      <c r="GE35" s="299"/>
      <c r="GF35" s="299"/>
      <c r="GG35" s="299"/>
      <c r="GH35" s="299"/>
      <c r="GI35" s="299"/>
      <c r="GJ35" s="299"/>
      <c r="GK35" s="299"/>
      <c r="GL35" s="299"/>
      <c r="GM35" s="299"/>
      <c r="GN35" s="299"/>
      <c r="GO35" s="299"/>
      <c r="GP35" s="299"/>
      <c r="GQ35" s="299"/>
      <c r="GR35" s="299"/>
      <c r="GS35" s="299"/>
      <c r="GT35" s="299"/>
      <c r="GU35" s="299"/>
      <c r="GV35" s="299"/>
      <c r="GW35" s="299"/>
      <c r="GX35" s="299"/>
      <c r="GY35" s="299"/>
      <c r="GZ35" s="299"/>
      <c r="HA35" s="299"/>
      <c r="HB35" s="299"/>
      <c r="HC35" s="299"/>
      <c r="HD35" s="299"/>
      <c r="HE35" s="299"/>
      <c r="HF35" s="299"/>
      <c r="HG35" s="299"/>
      <c r="HH35" s="299"/>
      <c r="HI35" s="299"/>
      <c r="HJ35" s="299"/>
      <c r="HK35" s="299"/>
      <c r="HL35" s="299"/>
      <c r="HM35" s="299"/>
      <c r="HN35" s="299"/>
      <c r="HO35" s="299"/>
      <c r="HP35" s="299"/>
      <c r="HQ35" s="299"/>
      <c r="HR35" s="299"/>
      <c r="HS35" s="299"/>
      <c r="HT35" s="299"/>
      <c r="HU35" s="299"/>
      <c r="HV35" s="299"/>
      <c r="HW35" s="299"/>
      <c r="HX35" s="299"/>
      <c r="HY35" s="299"/>
      <c r="HZ35" s="299"/>
      <c r="IA35" s="299"/>
      <c r="IB35" s="299"/>
      <c r="IC35" s="299"/>
      <c r="ID35" s="299"/>
      <c r="IE35" s="299"/>
      <c r="IF35" s="299"/>
      <c r="IG35" s="299"/>
      <c r="IH35" s="299"/>
      <c r="II35" s="299"/>
      <c r="IJ35" s="299"/>
      <c r="IK35" s="299"/>
      <c r="IL35" s="299"/>
      <c r="IM35" s="299"/>
      <c r="IN35" s="299"/>
      <c r="IO35" s="299"/>
      <c r="IP35" s="299"/>
      <c r="IQ35" s="299"/>
      <c r="IR35" s="299"/>
      <c r="IS35" s="299"/>
      <c r="IT35" s="299"/>
      <c r="IU35" s="299"/>
      <c r="IV35" s="299"/>
    </row>
    <row r="36" spans="1:9" ht="12.75" customHeight="1">
      <c r="A36" s="249" t="s">
        <v>40</v>
      </c>
      <c r="B36" s="249"/>
      <c r="C36" s="249"/>
      <c r="D36" s="249"/>
      <c r="E36" s="249"/>
      <c r="F36" s="249"/>
      <c r="G36" s="249"/>
      <c r="H36" s="250"/>
      <c r="I36" s="295"/>
    </row>
    <row r="37" spans="1:9" ht="15.75">
      <c r="A37" s="269" t="s">
        <v>266</v>
      </c>
      <c r="B37" s="270"/>
      <c r="C37" s="270"/>
      <c r="D37" s="270"/>
      <c r="E37" s="270"/>
      <c r="F37" s="270"/>
      <c r="G37" s="270"/>
      <c r="H37" s="271"/>
      <c r="I37" s="295"/>
    </row>
    <row r="38" spans="1:9" ht="31.5">
      <c r="A38" s="272" t="s">
        <v>249</v>
      </c>
      <c r="B38" s="273" t="s">
        <v>267</v>
      </c>
      <c r="C38" s="274" t="s">
        <v>268</v>
      </c>
      <c r="D38" s="275" t="s">
        <v>269</v>
      </c>
      <c r="E38" s="276"/>
      <c r="F38" s="277" t="s">
        <v>270</v>
      </c>
      <c r="G38" s="277" t="s">
        <v>271</v>
      </c>
      <c r="H38" s="277" t="s">
        <v>251</v>
      </c>
      <c r="I38" s="295"/>
    </row>
    <row r="39" spans="1:9" ht="31.5">
      <c r="A39" s="278" t="s">
        <v>272</v>
      </c>
      <c r="B39" s="278"/>
      <c r="C39" s="279" t="s">
        <v>273</v>
      </c>
      <c r="D39" s="280" t="s">
        <v>274</v>
      </c>
      <c r="E39" s="281" t="s">
        <v>273</v>
      </c>
      <c r="F39" s="282"/>
      <c r="G39" s="282"/>
      <c r="H39" s="282"/>
      <c r="I39" s="295"/>
    </row>
    <row r="40" spans="1:9" ht="15.75">
      <c r="A40" s="283" t="s">
        <v>275</v>
      </c>
      <c r="B40" s="284">
        <v>4.86</v>
      </c>
      <c r="C40" s="285">
        <v>2.9</v>
      </c>
      <c r="D40" s="284"/>
      <c r="E40" s="285"/>
      <c r="F40" s="286">
        <v>1</v>
      </c>
      <c r="G40" s="286"/>
      <c r="H40" s="287">
        <f aca="true" t="shared" si="0" ref="H40:H45">ROUND(B40*C40-D40-E40,2)*F40</f>
        <v>14.09</v>
      </c>
      <c r="I40" s="295"/>
    </row>
    <row r="41" spans="1:9" ht="15.75">
      <c r="A41" s="283" t="s">
        <v>276</v>
      </c>
      <c r="B41" s="284">
        <f>12.91+0.37*2</f>
        <v>13.65</v>
      </c>
      <c r="C41" s="285">
        <v>2.9</v>
      </c>
      <c r="D41" s="284"/>
      <c r="E41" s="285"/>
      <c r="F41" s="286">
        <v>1</v>
      </c>
      <c r="G41" s="286"/>
      <c r="H41" s="287">
        <f t="shared" si="0"/>
        <v>39.59</v>
      </c>
      <c r="I41" s="295"/>
    </row>
    <row r="42" spans="1:9" ht="15.75">
      <c r="A42" s="283" t="s">
        <v>277</v>
      </c>
      <c r="B42" s="284">
        <f>3.37+0.1*2+0.18*2</f>
        <v>3.93</v>
      </c>
      <c r="C42" s="285">
        <v>2.9</v>
      </c>
      <c r="D42" s="284"/>
      <c r="E42" s="284"/>
      <c r="F42" s="286">
        <v>1</v>
      </c>
      <c r="G42" s="286"/>
      <c r="H42" s="287">
        <f t="shared" si="0"/>
        <v>11.4</v>
      </c>
      <c r="I42" s="295"/>
    </row>
    <row r="43" spans="1:9" ht="15.75">
      <c r="A43" s="283" t="s">
        <v>278</v>
      </c>
      <c r="B43" s="284">
        <v>2.93</v>
      </c>
      <c r="C43" s="285">
        <v>2.9</v>
      </c>
      <c r="D43" s="284"/>
      <c r="E43" s="284"/>
      <c r="F43" s="286">
        <v>1</v>
      </c>
      <c r="G43" s="286"/>
      <c r="H43" s="287">
        <f t="shared" si="0"/>
        <v>8.5</v>
      </c>
      <c r="I43" s="295"/>
    </row>
    <row r="44" spans="1:9" ht="15.75">
      <c r="A44" s="283" t="s">
        <v>279</v>
      </c>
      <c r="B44" s="284">
        <f>18.21+0.4*2</f>
        <v>19.01</v>
      </c>
      <c r="C44" s="285">
        <v>2.9</v>
      </c>
      <c r="D44" s="284">
        <f>2.6*3+3.17*3+2.6*3</f>
        <v>25.110000000000003</v>
      </c>
      <c r="E44" s="284"/>
      <c r="F44" s="286">
        <v>1</v>
      </c>
      <c r="G44" s="286"/>
      <c r="H44" s="287">
        <f t="shared" si="0"/>
        <v>30.02</v>
      </c>
      <c r="I44" s="295"/>
    </row>
    <row r="45" spans="1:9" ht="15.75">
      <c r="A45" s="283" t="s">
        <v>280</v>
      </c>
      <c r="B45" s="284">
        <v>6.84</v>
      </c>
      <c r="C45" s="285">
        <v>2.9</v>
      </c>
      <c r="D45" s="284"/>
      <c r="E45" s="284"/>
      <c r="F45" s="286">
        <v>1</v>
      </c>
      <c r="G45" s="286"/>
      <c r="H45" s="287">
        <f t="shared" si="0"/>
        <v>19.84</v>
      </c>
      <c r="I45" s="295"/>
    </row>
    <row r="46" spans="1:9" ht="15.75">
      <c r="A46" s="283" t="s">
        <v>281</v>
      </c>
      <c r="B46" s="284">
        <v>3.45</v>
      </c>
      <c r="C46" s="285">
        <v>2.9</v>
      </c>
      <c r="D46" s="284">
        <f>0.8*2.1</f>
        <v>1.6800000000000002</v>
      </c>
      <c r="E46" s="284"/>
      <c r="F46" s="286">
        <v>1</v>
      </c>
      <c r="G46" s="286"/>
      <c r="H46" s="287">
        <f>ROUND(B46*C46-D46,2)*F46-E46</f>
        <v>8.33</v>
      </c>
      <c r="I46" s="295"/>
    </row>
    <row r="47" spans="1:9" ht="15.75">
      <c r="A47" s="283" t="s">
        <v>282</v>
      </c>
      <c r="B47" s="284">
        <v>3.45</v>
      </c>
      <c r="C47" s="285">
        <v>2.9</v>
      </c>
      <c r="D47" s="284">
        <f>(0.6*2.1)*2</f>
        <v>2.52</v>
      </c>
      <c r="E47" s="284"/>
      <c r="F47" s="286">
        <v>1</v>
      </c>
      <c r="G47" s="286"/>
      <c r="H47" s="287">
        <f>ROUND(B47*C47-D47-E47,2)*F47</f>
        <v>7.49</v>
      </c>
      <c r="I47" s="295"/>
    </row>
    <row r="48" spans="1:9" ht="15.75">
      <c r="A48" s="283" t="s">
        <v>283</v>
      </c>
      <c r="B48" s="284">
        <v>3.86</v>
      </c>
      <c r="C48" s="285">
        <v>2.9</v>
      </c>
      <c r="D48" s="284"/>
      <c r="E48" s="284"/>
      <c r="F48" s="286">
        <v>1</v>
      </c>
      <c r="G48" s="286"/>
      <c r="H48" s="287">
        <f>ROUND(B48*C48-D48-E48,2)*F48</f>
        <v>11.19</v>
      </c>
      <c r="I48" s="295"/>
    </row>
    <row r="49" spans="1:9" ht="15.75">
      <c r="A49" s="283" t="s">
        <v>284</v>
      </c>
      <c r="B49" s="284">
        <f>10.7+0.2*4</f>
        <v>11.5</v>
      </c>
      <c r="C49" s="285">
        <v>2.9</v>
      </c>
      <c r="D49" s="284">
        <f>2.9*3+2.9*3+2.9*3</f>
        <v>26.099999999999998</v>
      </c>
      <c r="E49" s="284"/>
      <c r="F49" s="286">
        <v>1</v>
      </c>
      <c r="G49" s="286"/>
      <c r="H49" s="287">
        <f>ROUND(B49*C49-D49-E49,2)*F49</f>
        <v>7.25</v>
      </c>
      <c r="I49" s="295"/>
    </row>
    <row r="50" spans="1:9" ht="15.75">
      <c r="A50" s="288" t="s">
        <v>285</v>
      </c>
      <c r="B50" s="289"/>
      <c r="C50" s="289"/>
      <c r="D50" s="289"/>
      <c r="E50" s="289"/>
      <c r="F50" s="289"/>
      <c r="G50" s="289"/>
      <c r="H50" s="276"/>
      <c r="I50" s="295"/>
    </row>
    <row r="51" spans="1:9" ht="15.75">
      <c r="A51" s="290" t="s">
        <v>275</v>
      </c>
      <c r="B51" s="284">
        <f>0.25+0.2*2</f>
        <v>0.65</v>
      </c>
      <c r="C51" s="285">
        <v>2.9</v>
      </c>
      <c r="D51" s="284"/>
      <c r="E51" s="284"/>
      <c r="F51" s="286">
        <v>4</v>
      </c>
      <c r="G51" s="286">
        <v>2</v>
      </c>
      <c r="H51" s="287">
        <f>ROUND(B51*C51-D51-E51,2)*F51*G51</f>
        <v>15.12</v>
      </c>
      <c r="I51" s="295"/>
    </row>
    <row r="52" spans="1:9" ht="12.75" customHeight="1">
      <c r="A52" s="291"/>
      <c r="B52" s="291"/>
      <c r="C52" s="291"/>
      <c r="D52" s="291"/>
      <c r="E52" s="291"/>
      <c r="F52" s="291"/>
      <c r="G52" s="292" t="s">
        <v>286</v>
      </c>
      <c r="H52" s="293">
        <f>SUM(H40:H51)</f>
        <v>172.82000000000002</v>
      </c>
      <c r="I52" s="295"/>
    </row>
    <row r="53" spans="1:9" ht="15.75">
      <c r="A53" s="245"/>
      <c r="B53" s="245"/>
      <c r="C53" s="245"/>
      <c r="D53" s="245"/>
      <c r="E53" s="245"/>
      <c r="F53" s="245"/>
      <c r="G53" s="245"/>
      <c r="H53" s="245"/>
      <c r="I53" s="295"/>
    </row>
    <row r="54" spans="1:9" ht="15.75">
      <c r="A54" s="294" t="s">
        <v>256</v>
      </c>
      <c r="B54" s="294"/>
      <c r="C54" s="294"/>
      <c r="D54" s="294"/>
      <c r="E54" s="294"/>
      <c r="F54" s="294"/>
      <c r="G54" s="294"/>
      <c r="H54" s="294"/>
      <c r="I54" s="295"/>
    </row>
    <row r="55" spans="1:9" ht="31.5">
      <c r="A55" s="272" t="s">
        <v>249</v>
      </c>
      <c r="B55" s="273" t="s">
        <v>267</v>
      </c>
      <c r="C55" s="274" t="s">
        <v>268</v>
      </c>
      <c r="D55" s="273" t="s">
        <v>269</v>
      </c>
      <c r="E55" s="273"/>
      <c r="F55" s="277" t="s">
        <v>270</v>
      </c>
      <c r="G55" s="277" t="s">
        <v>271</v>
      </c>
      <c r="H55" s="277" t="s">
        <v>251</v>
      </c>
      <c r="I55" s="295"/>
    </row>
    <row r="56" spans="1:9" ht="31.5">
      <c r="A56" s="278" t="s">
        <v>272</v>
      </c>
      <c r="B56" s="278"/>
      <c r="C56" s="279" t="s">
        <v>273</v>
      </c>
      <c r="D56" s="280" t="s">
        <v>274</v>
      </c>
      <c r="E56" s="281" t="s">
        <v>273</v>
      </c>
      <c r="F56" s="282"/>
      <c r="G56" s="282"/>
      <c r="H56" s="282"/>
      <c r="I56" s="295"/>
    </row>
    <row r="57" spans="1:9" ht="15.75">
      <c r="A57" s="290" t="s">
        <v>275</v>
      </c>
      <c r="B57" s="284">
        <v>5.22</v>
      </c>
      <c r="C57" s="285">
        <v>2.7</v>
      </c>
      <c r="D57" s="284">
        <f>2.68*1.1</f>
        <v>2.9480000000000004</v>
      </c>
      <c r="E57" s="285"/>
      <c r="F57" s="286">
        <v>1</v>
      </c>
      <c r="G57" s="286"/>
      <c r="H57" s="287">
        <f>ROUND(B57*C57-D57-E57,2)*F57</f>
        <v>11.15</v>
      </c>
      <c r="I57" s="295"/>
    </row>
    <row r="58" spans="1:9" ht="15.75">
      <c r="A58" s="290" t="s">
        <v>276</v>
      </c>
      <c r="B58" s="284">
        <v>5.33</v>
      </c>
      <c r="C58" s="285">
        <v>2.7</v>
      </c>
      <c r="D58" s="284">
        <f>2.68*1.1</f>
        <v>2.9480000000000004</v>
      </c>
      <c r="E58" s="285"/>
      <c r="F58" s="286">
        <v>1</v>
      </c>
      <c r="G58" s="286"/>
      <c r="H58" s="287">
        <f>ROUND(B58*C58-D58-E58,2)*F58</f>
        <v>11.44</v>
      </c>
      <c r="I58" s="295"/>
    </row>
    <row r="59" spans="1:9" ht="15.75">
      <c r="A59" s="290" t="s">
        <v>277</v>
      </c>
      <c r="B59" s="284">
        <v>5.23</v>
      </c>
      <c r="C59" s="285">
        <v>2.7</v>
      </c>
      <c r="D59" s="284">
        <f>2.68*1.1</f>
        <v>2.9480000000000004</v>
      </c>
      <c r="E59" s="284"/>
      <c r="F59" s="286">
        <v>1</v>
      </c>
      <c r="G59" s="286"/>
      <c r="H59" s="287">
        <f>ROUND(B59*C59-D59-E59,2)*F59</f>
        <v>11.17</v>
      </c>
      <c r="I59" s="295"/>
    </row>
    <row r="60" spans="1:9" ht="15.75">
      <c r="A60" s="290" t="s">
        <v>278</v>
      </c>
      <c r="B60" s="284">
        <v>1.7</v>
      </c>
      <c r="C60" s="285">
        <v>2.7</v>
      </c>
      <c r="D60" s="284"/>
      <c r="E60" s="284"/>
      <c r="F60" s="286">
        <v>1</v>
      </c>
      <c r="G60" s="286"/>
      <c r="H60" s="287">
        <f aca="true" t="shared" si="1" ref="H60:H75">ROUND(B60*C60-D60-E60,2)*F60</f>
        <v>4.59</v>
      </c>
      <c r="I60" s="295"/>
    </row>
    <row r="61" spans="1:9" ht="15.75">
      <c r="A61" s="290" t="s">
        <v>279</v>
      </c>
      <c r="B61" s="284">
        <v>1.75</v>
      </c>
      <c r="C61" s="285">
        <v>2.7</v>
      </c>
      <c r="D61" s="284"/>
      <c r="E61" s="284"/>
      <c r="F61" s="286">
        <v>1</v>
      </c>
      <c r="G61" s="286"/>
      <c r="H61" s="287">
        <f t="shared" si="1"/>
        <v>4.73</v>
      </c>
      <c r="I61" s="295"/>
    </row>
    <row r="62" spans="1:9" ht="15.75">
      <c r="A62" s="290" t="s">
        <v>280</v>
      </c>
      <c r="B62" s="284">
        <v>1.69</v>
      </c>
      <c r="C62" s="285">
        <v>2.7</v>
      </c>
      <c r="D62" s="284"/>
      <c r="E62" s="284"/>
      <c r="F62" s="286">
        <v>1</v>
      </c>
      <c r="G62" s="286"/>
      <c r="H62" s="287">
        <f t="shared" si="1"/>
        <v>4.56</v>
      </c>
      <c r="I62" s="295"/>
    </row>
    <row r="63" spans="1:9" ht="15.75">
      <c r="A63" s="290" t="s">
        <v>281</v>
      </c>
      <c r="B63" s="284">
        <v>2.95</v>
      </c>
      <c r="C63" s="285">
        <v>2.7</v>
      </c>
      <c r="D63" s="284"/>
      <c r="E63" s="284"/>
      <c r="F63" s="286">
        <v>1</v>
      </c>
      <c r="G63" s="286"/>
      <c r="H63" s="287">
        <f t="shared" si="1"/>
        <v>7.97</v>
      </c>
      <c r="I63" s="295"/>
    </row>
    <row r="64" spans="1:9" ht="15.75">
      <c r="A64" s="290" t="s">
        <v>282</v>
      </c>
      <c r="B64" s="284">
        <v>3.97</v>
      </c>
      <c r="C64" s="285">
        <v>2.7</v>
      </c>
      <c r="D64" s="284">
        <f>1.2*1.1+1*1.1</f>
        <v>2.42</v>
      </c>
      <c r="E64" s="284"/>
      <c r="F64" s="286">
        <v>1</v>
      </c>
      <c r="G64" s="286"/>
      <c r="H64" s="287">
        <f t="shared" si="1"/>
        <v>8.3</v>
      </c>
      <c r="I64" s="295"/>
    </row>
    <row r="65" spans="1:9" ht="15.75">
      <c r="A65" s="290" t="s">
        <v>283</v>
      </c>
      <c r="B65" s="284">
        <v>7.06</v>
      </c>
      <c r="C65" s="285">
        <v>2.7</v>
      </c>
      <c r="D65" s="284">
        <f>2.4*1.1+1*2.1</f>
        <v>4.74</v>
      </c>
      <c r="E65" s="284"/>
      <c r="F65" s="286">
        <v>1</v>
      </c>
      <c r="G65" s="286"/>
      <c r="H65" s="287">
        <f t="shared" si="1"/>
        <v>14.32</v>
      </c>
      <c r="I65" s="295"/>
    </row>
    <row r="66" spans="1:9" ht="15.75">
      <c r="A66" s="290" t="s">
        <v>284</v>
      </c>
      <c r="B66" s="284">
        <v>6.92</v>
      </c>
      <c r="C66" s="285">
        <v>2.7</v>
      </c>
      <c r="D66" s="284">
        <f>2.4*1.1+1*2.1</f>
        <v>4.74</v>
      </c>
      <c r="E66" s="284"/>
      <c r="F66" s="286">
        <v>1</v>
      </c>
      <c r="G66" s="286"/>
      <c r="H66" s="287">
        <f t="shared" si="1"/>
        <v>13.94</v>
      </c>
      <c r="I66" s="295"/>
    </row>
    <row r="67" spans="1:9" ht="15.75">
      <c r="A67" s="290" t="s">
        <v>287</v>
      </c>
      <c r="B67" s="284">
        <v>6.83</v>
      </c>
      <c r="C67" s="285">
        <v>2.7</v>
      </c>
      <c r="D67" s="284">
        <f>1.27*1.1+1.21*1.1</f>
        <v>2.728</v>
      </c>
      <c r="E67" s="284"/>
      <c r="F67" s="286">
        <v>1</v>
      </c>
      <c r="G67" s="286"/>
      <c r="H67" s="287">
        <f t="shared" si="1"/>
        <v>15.71</v>
      </c>
      <c r="I67" s="295"/>
    </row>
    <row r="68" spans="1:9" ht="15.75">
      <c r="A68" s="290" t="s">
        <v>288</v>
      </c>
      <c r="B68" s="284">
        <v>3.8</v>
      </c>
      <c r="C68" s="285">
        <v>2.7</v>
      </c>
      <c r="D68" s="284"/>
      <c r="E68" s="284"/>
      <c r="F68" s="286">
        <v>1</v>
      </c>
      <c r="G68" s="286"/>
      <c r="H68" s="287">
        <f t="shared" si="1"/>
        <v>10.26</v>
      </c>
      <c r="I68" s="295"/>
    </row>
    <row r="69" spans="1:9" ht="15.75">
      <c r="A69" s="290" t="s">
        <v>289</v>
      </c>
      <c r="B69" s="284">
        <v>3.39</v>
      </c>
      <c r="C69" s="285">
        <v>2.7</v>
      </c>
      <c r="D69" s="284">
        <f>0.6*2.1</f>
        <v>1.26</v>
      </c>
      <c r="E69" s="284"/>
      <c r="F69" s="286">
        <v>1</v>
      </c>
      <c r="G69" s="286"/>
      <c r="H69" s="287">
        <f t="shared" si="1"/>
        <v>7.89</v>
      </c>
      <c r="I69" s="295"/>
    </row>
    <row r="70" spans="1:9" ht="15.75">
      <c r="A70" s="290" t="s">
        <v>290</v>
      </c>
      <c r="B70" s="284">
        <f>7.24+0.2*3</f>
        <v>7.84</v>
      </c>
      <c r="C70" s="285">
        <v>2.7</v>
      </c>
      <c r="D70" s="284"/>
      <c r="E70" s="284"/>
      <c r="F70" s="286">
        <v>2</v>
      </c>
      <c r="G70" s="286"/>
      <c r="H70" s="287">
        <f t="shared" si="1"/>
        <v>42.34</v>
      </c>
      <c r="I70" s="295"/>
    </row>
    <row r="71" spans="1:9" ht="15.75">
      <c r="A71" s="290" t="s">
        <v>291</v>
      </c>
      <c r="B71" s="284">
        <v>3.4</v>
      </c>
      <c r="C71" s="285">
        <v>2.7</v>
      </c>
      <c r="D71" s="284">
        <f>0.6*2.1</f>
        <v>1.26</v>
      </c>
      <c r="E71" s="284"/>
      <c r="F71" s="286">
        <v>1</v>
      </c>
      <c r="G71" s="286"/>
      <c r="H71" s="287">
        <f t="shared" si="1"/>
        <v>7.92</v>
      </c>
      <c r="I71" s="295"/>
    </row>
    <row r="72" spans="1:9" ht="15.75">
      <c r="A72" s="290" t="s">
        <v>292</v>
      </c>
      <c r="B72" s="284">
        <f>10.62+0.3+0.2*4</f>
        <v>11.72</v>
      </c>
      <c r="C72" s="285">
        <v>2.7</v>
      </c>
      <c r="D72" s="284"/>
      <c r="E72" s="284"/>
      <c r="F72" s="286">
        <v>1</v>
      </c>
      <c r="G72" s="286"/>
      <c r="H72" s="287">
        <f t="shared" si="1"/>
        <v>31.64</v>
      </c>
      <c r="I72" s="295"/>
    </row>
    <row r="73" spans="1:9" ht="15.75">
      <c r="A73" s="290" t="s">
        <v>293</v>
      </c>
      <c r="B73" s="284">
        <f>7.25+0.2*3</f>
        <v>7.85</v>
      </c>
      <c r="C73" s="285">
        <v>2.7</v>
      </c>
      <c r="D73" s="284"/>
      <c r="E73" s="284"/>
      <c r="F73" s="286">
        <v>1</v>
      </c>
      <c r="G73" s="286"/>
      <c r="H73" s="287">
        <f t="shared" si="1"/>
        <v>21.2</v>
      </c>
      <c r="I73" s="295"/>
    </row>
    <row r="74" spans="1:9" ht="15.75">
      <c r="A74" s="290" t="s">
        <v>294</v>
      </c>
      <c r="B74" s="284">
        <v>3.37</v>
      </c>
      <c r="C74" s="285">
        <v>2.7</v>
      </c>
      <c r="D74" s="284">
        <f>0.6*2.1</f>
        <v>1.26</v>
      </c>
      <c r="E74" s="284"/>
      <c r="F74" s="286">
        <v>1</v>
      </c>
      <c r="G74" s="286"/>
      <c r="H74" s="287">
        <f t="shared" si="1"/>
        <v>7.84</v>
      </c>
      <c r="I74" s="295"/>
    </row>
    <row r="75" spans="1:9" ht="15.75">
      <c r="A75" s="290" t="s">
        <v>295</v>
      </c>
      <c r="B75" s="284">
        <f>10.62+0.2*4</f>
        <v>11.42</v>
      </c>
      <c r="C75" s="285">
        <v>2.7</v>
      </c>
      <c r="D75" s="284">
        <f>(2*1.1)*3</f>
        <v>6.6000000000000005</v>
      </c>
      <c r="E75" s="284"/>
      <c r="F75" s="286">
        <v>1</v>
      </c>
      <c r="G75" s="286"/>
      <c r="H75" s="287">
        <f t="shared" si="1"/>
        <v>24.23</v>
      </c>
      <c r="I75" s="295"/>
    </row>
    <row r="76" spans="1:9" ht="12.75" customHeight="1">
      <c r="A76" s="291"/>
      <c r="B76" s="291"/>
      <c r="C76" s="291"/>
      <c r="D76" s="291"/>
      <c r="E76" s="291"/>
      <c r="F76" s="291"/>
      <c r="G76" s="262" t="s">
        <v>286</v>
      </c>
      <c r="H76" s="263">
        <f>SUM(H57:H75)</f>
        <v>261.2</v>
      </c>
      <c r="I76" s="295"/>
    </row>
    <row r="77" spans="1:9" ht="15.75">
      <c r="A77" s="268"/>
      <c r="B77" s="268"/>
      <c r="C77" s="268"/>
      <c r="D77" s="268"/>
      <c r="E77" s="268"/>
      <c r="F77" s="268"/>
      <c r="G77" s="268"/>
      <c r="H77" s="268"/>
      <c r="I77" s="295"/>
    </row>
    <row r="78" spans="1:9" ht="15.75">
      <c r="A78" s="294" t="s">
        <v>296</v>
      </c>
      <c r="B78" s="294"/>
      <c r="C78" s="294"/>
      <c r="D78" s="294"/>
      <c r="E78" s="294"/>
      <c r="F78" s="294"/>
      <c r="G78" s="294"/>
      <c r="H78" s="294"/>
      <c r="I78" s="295"/>
    </row>
    <row r="79" spans="1:9" ht="31.5">
      <c r="A79" s="272" t="s">
        <v>249</v>
      </c>
      <c r="B79" s="273" t="s">
        <v>267</v>
      </c>
      <c r="C79" s="274" t="s">
        <v>268</v>
      </c>
      <c r="D79" s="273" t="s">
        <v>269</v>
      </c>
      <c r="E79" s="273"/>
      <c r="F79" s="277" t="s">
        <v>270</v>
      </c>
      <c r="G79" s="277" t="s">
        <v>271</v>
      </c>
      <c r="H79" s="277" t="s">
        <v>251</v>
      </c>
      <c r="I79" s="295"/>
    </row>
    <row r="80" spans="1:9" ht="31.5">
      <c r="A80" s="278" t="s">
        <v>272</v>
      </c>
      <c r="B80" s="278"/>
      <c r="C80" s="279" t="s">
        <v>273</v>
      </c>
      <c r="D80" s="280" t="s">
        <v>274</v>
      </c>
      <c r="E80" s="281" t="s">
        <v>273</v>
      </c>
      <c r="F80" s="282"/>
      <c r="G80" s="282"/>
      <c r="H80" s="282"/>
      <c r="I80" s="295"/>
    </row>
    <row r="81" spans="1:9" ht="15.75">
      <c r="A81" s="290" t="s">
        <v>275</v>
      </c>
      <c r="B81" s="284">
        <v>5.25</v>
      </c>
      <c r="C81" s="285">
        <v>2.7</v>
      </c>
      <c r="D81" s="284">
        <f>2.68*1.1</f>
        <v>2.9480000000000004</v>
      </c>
      <c r="E81" s="285"/>
      <c r="F81" s="286">
        <v>1</v>
      </c>
      <c r="G81" s="286"/>
      <c r="H81" s="287">
        <f>ROUND(B81*C81-D81-E81,2)*F81</f>
        <v>11.23</v>
      </c>
      <c r="I81" s="295"/>
    </row>
    <row r="82" spans="1:9" ht="15.75">
      <c r="A82" s="290" t="s">
        <v>276</v>
      </c>
      <c r="B82" s="284">
        <v>5.26</v>
      </c>
      <c r="C82" s="285">
        <v>2.7</v>
      </c>
      <c r="D82" s="284">
        <f>2.68*1.1</f>
        <v>2.9480000000000004</v>
      </c>
      <c r="E82" s="285"/>
      <c r="F82" s="286">
        <v>1</v>
      </c>
      <c r="G82" s="286"/>
      <c r="H82" s="287">
        <f>ROUND(B82*C82-D82-E82,2)*F82</f>
        <v>11.25</v>
      </c>
      <c r="I82" s="295"/>
    </row>
    <row r="83" spans="1:9" ht="15.75">
      <c r="A83" s="290" t="s">
        <v>277</v>
      </c>
      <c r="B83" s="284">
        <v>5.26</v>
      </c>
      <c r="C83" s="285">
        <v>2.7</v>
      </c>
      <c r="D83" s="284">
        <f>2.68*1.1</f>
        <v>2.9480000000000004</v>
      </c>
      <c r="E83" s="284"/>
      <c r="F83" s="286">
        <v>1</v>
      </c>
      <c r="G83" s="286"/>
      <c r="H83" s="287">
        <f>ROUND(B83*C83-D83-E83,2)*F83</f>
        <v>11.25</v>
      </c>
      <c r="I83" s="295"/>
    </row>
    <row r="84" spans="1:9" ht="15.75">
      <c r="A84" s="290" t="s">
        <v>278</v>
      </c>
      <c r="B84" s="284">
        <v>1.7</v>
      </c>
      <c r="C84" s="285">
        <v>2.7</v>
      </c>
      <c r="D84" s="284"/>
      <c r="E84" s="284"/>
      <c r="F84" s="286">
        <v>1</v>
      </c>
      <c r="G84" s="286"/>
      <c r="H84" s="287">
        <f aca="true" t="shared" si="2" ref="H84:H99">ROUND(B84*C84-D84-E84,2)*F84</f>
        <v>4.59</v>
      </c>
      <c r="I84" s="295"/>
    </row>
    <row r="85" spans="1:9" ht="15.75">
      <c r="A85" s="290" t="s">
        <v>279</v>
      </c>
      <c r="B85" s="284">
        <v>1.79</v>
      </c>
      <c r="C85" s="285">
        <v>2.7</v>
      </c>
      <c r="D85" s="284"/>
      <c r="E85" s="284"/>
      <c r="F85" s="286">
        <v>1</v>
      </c>
      <c r="G85" s="286"/>
      <c r="H85" s="287">
        <f t="shared" si="2"/>
        <v>4.83</v>
      </c>
      <c r="I85" s="295"/>
    </row>
    <row r="86" spans="1:9" ht="15.75">
      <c r="A86" s="290" t="s">
        <v>280</v>
      </c>
      <c r="B86" s="284">
        <v>1.68</v>
      </c>
      <c r="C86" s="285">
        <v>2.7</v>
      </c>
      <c r="D86" s="284"/>
      <c r="E86" s="284"/>
      <c r="F86" s="286">
        <v>1</v>
      </c>
      <c r="G86" s="286"/>
      <c r="H86" s="287">
        <f t="shared" si="2"/>
        <v>4.54</v>
      </c>
      <c r="I86" s="295"/>
    </row>
    <row r="87" spans="1:9" ht="15.75">
      <c r="A87" s="290" t="s">
        <v>281</v>
      </c>
      <c r="B87" s="284">
        <v>3</v>
      </c>
      <c r="C87" s="285">
        <v>2.7</v>
      </c>
      <c r="D87" s="284"/>
      <c r="E87" s="284"/>
      <c r="F87" s="286">
        <v>1</v>
      </c>
      <c r="G87" s="286"/>
      <c r="H87" s="287">
        <f t="shared" si="2"/>
        <v>8.1</v>
      </c>
      <c r="I87" s="295"/>
    </row>
    <row r="88" spans="1:9" ht="15.75">
      <c r="A88" s="290" t="s">
        <v>282</v>
      </c>
      <c r="B88" s="284">
        <v>3.95</v>
      </c>
      <c r="C88" s="285">
        <v>2.7</v>
      </c>
      <c r="D88" s="284">
        <f>1.2*1.1+1*1.1</f>
        <v>2.42</v>
      </c>
      <c r="E88" s="284"/>
      <c r="F88" s="286">
        <v>1</v>
      </c>
      <c r="G88" s="286"/>
      <c r="H88" s="287">
        <f t="shared" si="2"/>
        <v>8.25</v>
      </c>
      <c r="I88" s="295"/>
    </row>
    <row r="89" spans="1:9" ht="15.75">
      <c r="A89" s="290" t="s">
        <v>283</v>
      </c>
      <c r="B89" s="284">
        <v>7.05</v>
      </c>
      <c r="C89" s="285">
        <v>2.7</v>
      </c>
      <c r="D89" s="284">
        <f>2.4*1.1+1*2.1</f>
        <v>4.74</v>
      </c>
      <c r="E89" s="284"/>
      <c r="F89" s="286">
        <v>1</v>
      </c>
      <c r="G89" s="286"/>
      <c r="H89" s="287">
        <f t="shared" si="2"/>
        <v>14.3</v>
      </c>
      <c r="I89" s="295"/>
    </row>
    <row r="90" spans="1:9" ht="15.75">
      <c r="A90" s="290" t="s">
        <v>284</v>
      </c>
      <c r="B90" s="284">
        <v>6.93</v>
      </c>
      <c r="C90" s="285">
        <v>2.7</v>
      </c>
      <c r="D90" s="284">
        <f>2.4*1.1+1*2.1</f>
        <v>4.74</v>
      </c>
      <c r="E90" s="284"/>
      <c r="F90" s="286">
        <v>1</v>
      </c>
      <c r="G90" s="286"/>
      <c r="H90" s="287">
        <f t="shared" si="2"/>
        <v>13.97</v>
      </c>
      <c r="I90" s="295"/>
    </row>
    <row r="91" spans="1:9" ht="15.75">
      <c r="A91" s="290" t="s">
        <v>287</v>
      </c>
      <c r="B91" s="284">
        <v>6.82</v>
      </c>
      <c r="C91" s="285">
        <v>2.7</v>
      </c>
      <c r="D91" s="284">
        <f>1.27*1.1+1.21*1.1</f>
        <v>2.728</v>
      </c>
      <c r="E91" s="284"/>
      <c r="F91" s="286">
        <v>1</v>
      </c>
      <c r="G91" s="286"/>
      <c r="H91" s="287">
        <f t="shared" si="2"/>
        <v>15.69</v>
      </c>
      <c r="I91" s="295"/>
    </row>
    <row r="92" spans="1:9" ht="15.75">
      <c r="A92" s="290" t="s">
        <v>288</v>
      </c>
      <c r="B92" s="284">
        <v>3.82</v>
      </c>
      <c r="C92" s="285">
        <v>2.7</v>
      </c>
      <c r="D92" s="284"/>
      <c r="E92" s="284"/>
      <c r="F92" s="286">
        <v>1</v>
      </c>
      <c r="G92" s="286"/>
      <c r="H92" s="287">
        <f t="shared" si="2"/>
        <v>10.31</v>
      </c>
      <c r="I92" s="295"/>
    </row>
    <row r="93" spans="1:9" ht="15.75">
      <c r="A93" s="290" t="s">
        <v>289</v>
      </c>
      <c r="B93" s="284">
        <v>3.4</v>
      </c>
      <c r="C93" s="285">
        <v>2.7</v>
      </c>
      <c r="D93" s="284">
        <f aca="true" t="shared" si="3" ref="D93:D98">0.6*2.1</f>
        <v>1.26</v>
      </c>
      <c r="E93" s="284"/>
      <c r="F93" s="286">
        <v>1</v>
      </c>
      <c r="G93" s="286"/>
      <c r="H93" s="287">
        <f t="shared" si="2"/>
        <v>7.92</v>
      </c>
      <c r="I93" s="295"/>
    </row>
    <row r="94" spans="1:9" ht="15.75">
      <c r="A94" s="290" t="s">
        <v>290</v>
      </c>
      <c r="B94" s="284">
        <f>7.24+0.2*3</f>
        <v>7.84</v>
      </c>
      <c r="C94" s="285">
        <v>2.7</v>
      </c>
      <c r="D94" s="284"/>
      <c r="E94" s="284"/>
      <c r="F94" s="286">
        <v>2</v>
      </c>
      <c r="G94" s="286"/>
      <c r="H94" s="287">
        <f t="shared" si="2"/>
        <v>42.34</v>
      </c>
      <c r="I94" s="295"/>
    </row>
    <row r="95" spans="1:9" ht="15.75">
      <c r="A95" s="290" t="s">
        <v>291</v>
      </c>
      <c r="B95" s="284">
        <v>3.4</v>
      </c>
      <c r="C95" s="285">
        <v>2.7</v>
      </c>
      <c r="D95" s="284">
        <f t="shared" si="3"/>
        <v>1.26</v>
      </c>
      <c r="E95" s="284"/>
      <c r="F95" s="286">
        <v>1</v>
      </c>
      <c r="G95" s="286"/>
      <c r="H95" s="287">
        <f t="shared" si="2"/>
        <v>7.92</v>
      </c>
      <c r="I95" s="295"/>
    </row>
    <row r="96" spans="1:9" ht="15.75">
      <c r="A96" s="290" t="s">
        <v>292</v>
      </c>
      <c r="B96" s="284">
        <f>10.62+0.3+0.2*4</f>
        <v>11.72</v>
      </c>
      <c r="C96" s="285">
        <v>2.7</v>
      </c>
      <c r="D96" s="284"/>
      <c r="E96" s="284"/>
      <c r="F96" s="286">
        <v>1</v>
      </c>
      <c r="G96" s="286"/>
      <c r="H96" s="287">
        <f t="shared" si="2"/>
        <v>31.64</v>
      </c>
      <c r="I96" s="295"/>
    </row>
    <row r="97" spans="1:9" ht="15.75">
      <c r="A97" s="290" t="s">
        <v>293</v>
      </c>
      <c r="B97" s="284">
        <f>7.25+0.2*3</f>
        <v>7.85</v>
      </c>
      <c r="C97" s="285">
        <v>2.7</v>
      </c>
      <c r="D97" s="284"/>
      <c r="E97" s="284"/>
      <c r="F97" s="286">
        <v>1</v>
      </c>
      <c r="G97" s="286"/>
      <c r="H97" s="287">
        <f t="shared" si="2"/>
        <v>21.2</v>
      </c>
      <c r="I97" s="295"/>
    </row>
    <row r="98" spans="1:9" ht="15.75">
      <c r="A98" s="290" t="s">
        <v>294</v>
      </c>
      <c r="B98" s="284">
        <v>3.39</v>
      </c>
      <c r="C98" s="285">
        <v>2.7</v>
      </c>
      <c r="D98" s="284">
        <f t="shared" si="3"/>
        <v>1.26</v>
      </c>
      <c r="E98" s="284"/>
      <c r="F98" s="286">
        <v>1</v>
      </c>
      <c r="G98" s="286"/>
      <c r="H98" s="287">
        <f t="shared" si="2"/>
        <v>7.89</v>
      </c>
      <c r="I98" s="295"/>
    </row>
    <row r="99" spans="1:9" ht="15.75">
      <c r="A99" s="290" t="s">
        <v>295</v>
      </c>
      <c r="B99" s="284">
        <v>10.64</v>
      </c>
      <c r="C99" s="285">
        <v>2.7</v>
      </c>
      <c r="D99" s="284">
        <f>(2*1.1)*3</f>
        <v>6.6000000000000005</v>
      </c>
      <c r="E99" s="284"/>
      <c r="F99" s="286">
        <v>1</v>
      </c>
      <c r="G99" s="286"/>
      <c r="H99" s="287">
        <f t="shared" si="2"/>
        <v>22.13</v>
      </c>
      <c r="I99" s="295"/>
    </row>
    <row r="100" spans="1:9" ht="12.75" customHeight="1">
      <c r="A100" s="291"/>
      <c r="B100" s="291"/>
      <c r="C100" s="291"/>
      <c r="D100" s="291"/>
      <c r="E100" s="291"/>
      <c r="F100" s="291"/>
      <c r="G100" s="257" t="s">
        <v>286</v>
      </c>
      <c r="H100" s="301">
        <f>SUM(H81:H99)</f>
        <v>259.34999999999997</v>
      </c>
      <c r="I100" s="295"/>
    </row>
    <row r="101" spans="1:9" ht="15.75">
      <c r="A101" s="268"/>
      <c r="B101" s="268"/>
      <c r="C101" s="268"/>
      <c r="D101" s="268"/>
      <c r="E101" s="268"/>
      <c r="F101" s="268"/>
      <c r="G101" s="268"/>
      <c r="H101" s="268"/>
      <c r="I101" s="295"/>
    </row>
    <row r="102" spans="1:9" ht="15.75">
      <c r="A102" s="294" t="s">
        <v>257</v>
      </c>
      <c r="B102" s="294"/>
      <c r="C102" s="294"/>
      <c r="D102" s="294"/>
      <c r="E102" s="294"/>
      <c r="F102" s="294"/>
      <c r="G102" s="294"/>
      <c r="H102" s="294"/>
      <c r="I102" s="295"/>
    </row>
    <row r="103" spans="1:9" ht="31.5">
      <c r="A103" s="272" t="s">
        <v>249</v>
      </c>
      <c r="B103" s="273" t="s">
        <v>267</v>
      </c>
      <c r="C103" s="274" t="s">
        <v>268</v>
      </c>
      <c r="D103" s="273" t="s">
        <v>269</v>
      </c>
      <c r="E103" s="273"/>
      <c r="F103" s="277" t="s">
        <v>270</v>
      </c>
      <c r="G103" s="277" t="s">
        <v>271</v>
      </c>
      <c r="H103" s="277" t="s">
        <v>251</v>
      </c>
      <c r="I103" s="295"/>
    </row>
    <row r="104" spans="1:9" ht="31.5">
      <c r="A104" s="278" t="s">
        <v>272</v>
      </c>
      <c r="B104" s="278"/>
      <c r="C104" s="279" t="s">
        <v>273</v>
      </c>
      <c r="D104" s="280" t="s">
        <v>274</v>
      </c>
      <c r="E104" s="281" t="s">
        <v>273</v>
      </c>
      <c r="F104" s="282"/>
      <c r="G104" s="282"/>
      <c r="H104" s="282"/>
      <c r="I104" s="295"/>
    </row>
    <row r="105" spans="1:9" ht="15.75">
      <c r="A105" s="290" t="s">
        <v>275</v>
      </c>
      <c r="B105" s="284">
        <v>5.26</v>
      </c>
      <c r="C105" s="285">
        <v>2.7</v>
      </c>
      <c r="D105" s="284">
        <f>2.68*1.1</f>
        <v>2.9480000000000004</v>
      </c>
      <c r="E105" s="285"/>
      <c r="F105" s="286">
        <v>1</v>
      </c>
      <c r="G105" s="286"/>
      <c r="H105" s="287">
        <f>ROUND(B105*C105-D105-E105,2)*F105</f>
        <v>11.25</v>
      </c>
      <c r="I105" s="295"/>
    </row>
    <row r="106" spans="1:9" ht="15.75">
      <c r="A106" s="290" t="s">
        <v>276</v>
      </c>
      <c r="B106" s="284">
        <v>5.29</v>
      </c>
      <c r="C106" s="285">
        <v>2.7</v>
      </c>
      <c r="D106" s="284">
        <f>2.68*1.1</f>
        <v>2.9480000000000004</v>
      </c>
      <c r="E106" s="285"/>
      <c r="F106" s="286">
        <v>1</v>
      </c>
      <c r="G106" s="286"/>
      <c r="H106" s="287">
        <f>ROUND(B106*C106-D106-E106,2)*F106</f>
        <v>11.34</v>
      </c>
      <c r="I106" s="295"/>
    </row>
    <row r="107" spans="1:9" ht="15.75">
      <c r="A107" s="290" t="s">
        <v>277</v>
      </c>
      <c r="B107" s="284">
        <v>5.16</v>
      </c>
      <c r="C107" s="285">
        <v>2.7</v>
      </c>
      <c r="D107" s="284">
        <f>2.68*1.1</f>
        <v>2.9480000000000004</v>
      </c>
      <c r="E107" s="284"/>
      <c r="F107" s="286">
        <v>1</v>
      </c>
      <c r="G107" s="286"/>
      <c r="H107" s="287">
        <f>ROUND(B107*C107-D107-E107,2)*F107</f>
        <v>10.98</v>
      </c>
      <c r="I107" s="295"/>
    </row>
    <row r="108" spans="1:9" ht="15.75">
      <c r="A108" s="290" t="s">
        <v>278</v>
      </c>
      <c r="B108" s="284">
        <v>1.73</v>
      </c>
      <c r="C108" s="285">
        <v>2.7</v>
      </c>
      <c r="D108" s="284"/>
      <c r="E108" s="284"/>
      <c r="F108" s="286">
        <v>1</v>
      </c>
      <c r="G108" s="286"/>
      <c r="H108" s="287">
        <f aca="true" t="shared" si="4" ref="H108:H123">ROUND(B108*C108-D108-E108,2)*F108</f>
        <v>4.67</v>
      </c>
      <c r="I108" s="295"/>
    </row>
    <row r="109" spans="1:9" ht="15.75">
      <c r="A109" s="290" t="s">
        <v>279</v>
      </c>
      <c r="B109" s="284">
        <v>1.74</v>
      </c>
      <c r="C109" s="285">
        <v>2.7</v>
      </c>
      <c r="D109" s="284"/>
      <c r="E109" s="284"/>
      <c r="F109" s="286">
        <v>1</v>
      </c>
      <c r="G109" s="286"/>
      <c r="H109" s="287">
        <f t="shared" si="4"/>
        <v>4.7</v>
      </c>
      <c r="I109" s="295"/>
    </row>
    <row r="110" spans="1:9" ht="15.75">
      <c r="A110" s="290" t="s">
        <v>280</v>
      </c>
      <c r="B110" s="284">
        <v>1.77</v>
      </c>
      <c r="C110" s="285">
        <v>2.7</v>
      </c>
      <c r="D110" s="284"/>
      <c r="E110" s="284"/>
      <c r="F110" s="286">
        <v>1</v>
      </c>
      <c r="G110" s="286"/>
      <c r="H110" s="287">
        <f t="shared" si="4"/>
        <v>4.78</v>
      </c>
      <c r="I110" s="295"/>
    </row>
    <row r="111" spans="1:9" ht="15.75">
      <c r="A111" s="290" t="s">
        <v>281</v>
      </c>
      <c r="B111" s="284">
        <v>2.95</v>
      </c>
      <c r="C111" s="285">
        <v>2.7</v>
      </c>
      <c r="D111" s="284"/>
      <c r="E111" s="284"/>
      <c r="F111" s="286">
        <v>1</v>
      </c>
      <c r="G111" s="286"/>
      <c r="H111" s="287">
        <f t="shared" si="4"/>
        <v>7.97</v>
      </c>
      <c r="I111" s="295"/>
    </row>
    <row r="112" spans="1:9" ht="15.75">
      <c r="A112" s="290" t="s">
        <v>282</v>
      </c>
      <c r="B112" s="284">
        <v>4.04</v>
      </c>
      <c r="C112" s="285">
        <v>2.7</v>
      </c>
      <c r="D112" s="284">
        <f>1.2*1.1+1*1.1</f>
        <v>2.42</v>
      </c>
      <c r="E112" s="284"/>
      <c r="F112" s="286">
        <v>1</v>
      </c>
      <c r="G112" s="286"/>
      <c r="H112" s="287">
        <f t="shared" si="4"/>
        <v>8.49</v>
      </c>
      <c r="I112" s="295"/>
    </row>
    <row r="113" spans="1:9" ht="15.75">
      <c r="A113" s="290" t="s">
        <v>283</v>
      </c>
      <c r="B113" s="284">
        <v>7.03</v>
      </c>
      <c r="C113" s="285">
        <v>2.7</v>
      </c>
      <c r="D113" s="284">
        <f>2.4*1.1+1*2.1</f>
        <v>4.74</v>
      </c>
      <c r="E113" s="284"/>
      <c r="F113" s="286">
        <v>1</v>
      </c>
      <c r="G113" s="286"/>
      <c r="H113" s="287">
        <f t="shared" si="4"/>
        <v>14.24</v>
      </c>
      <c r="I113" s="295"/>
    </row>
    <row r="114" spans="1:9" ht="15.75">
      <c r="A114" s="290" t="s">
        <v>284</v>
      </c>
      <c r="B114" s="284">
        <v>6.93</v>
      </c>
      <c r="C114" s="285">
        <v>2.7</v>
      </c>
      <c r="D114" s="284">
        <f>2.4*1.1+1*2.1</f>
        <v>4.74</v>
      </c>
      <c r="E114" s="284"/>
      <c r="F114" s="286">
        <v>1</v>
      </c>
      <c r="G114" s="286"/>
      <c r="H114" s="287">
        <f t="shared" si="4"/>
        <v>13.97</v>
      </c>
      <c r="I114" s="295"/>
    </row>
    <row r="115" spans="1:9" ht="15.75">
      <c r="A115" s="290" t="s">
        <v>287</v>
      </c>
      <c r="B115" s="284">
        <v>6.83</v>
      </c>
      <c r="C115" s="285">
        <v>2.7</v>
      </c>
      <c r="D115" s="284">
        <f>1.27*1.1+1.21*1.1</f>
        <v>2.728</v>
      </c>
      <c r="E115" s="284"/>
      <c r="F115" s="286">
        <v>1</v>
      </c>
      <c r="G115" s="286"/>
      <c r="H115" s="287">
        <f t="shared" si="4"/>
        <v>15.71</v>
      </c>
      <c r="I115" s="295"/>
    </row>
    <row r="116" spans="1:9" ht="15.75">
      <c r="A116" s="290" t="s">
        <v>288</v>
      </c>
      <c r="B116" s="284">
        <v>3.83</v>
      </c>
      <c r="C116" s="285">
        <v>2.7</v>
      </c>
      <c r="D116" s="284"/>
      <c r="E116" s="284"/>
      <c r="F116" s="286">
        <v>1</v>
      </c>
      <c r="G116" s="286"/>
      <c r="H116" s="287">
        <f t="shared" si="4"/>
        <v>10.34</v>
      </c>
      <c r="I116" s="295"/>
    </row>
    <row r="117" spans="1:9" ht="15.75">
      <c r="A117" s="290" t="s">
        <v>289</v>
      </c>
      <c r="B117" s="284">
        <v>3.43</v>
      </c>
      <c r="C117" s="285">
        <v>2.7</v>
      </c>
      <c r="D117" s="284">
        <f aca="true" t="shared" si="5" ref="D117:D122">0.6*2.1</f>
        <v>1.26</v>
      </c>
      <c r="E117" s="284"/>
      <c r="F117" s="286">
        <v>1</v>
      </c>
      <c r="G117" s="286"/>
      <c r="H117" s="287">
        <f t="shared" si="4"/>
        <v>8</v>
      </c>
      <c r="I117" s="295"/>
    </row>
    <row r="118" spans="1:9" ht="15.75">
      <c r="A118" s="290" t="s">
        <v>290</v>
      </c>
      <c r="B118" s="284">
        <f>7.23+0.2*3</f>
        <v>7.83</v>
      </c>
      <c r="C118" s="285">
        <v>2.7</v>
      </c>
      <c r="D118" s="284"/>
      <c r="E118" s="284"/>
      <c r="F118" s="286">
        <v>2</v>
      </c>
      <c r="G118" s="286"/>
      <c r="H118" s="287">
        <f t="shared" si="4"/>
        <v>42.28</v>
      </c>
      <c r="I118" s="295"/>
    </row>
    <row r="119" spans="1:9" ht="15.75">
      <c r="A119" s="290" t="s">
        <v>291</v>
      </c>
      <c r="B119" s="284">
        <v>3.44</v>
      </c>
      <c r="C119" s="285">
        <v>2.7</v>
      </c>
      <c r="D119" s="284">
        <f t="shared" si="5"/>
        <v>1.26</v>
      </c>
      <c r="E119" s="284"/>
      <c r="F119" s="286">
        <v>1</v>
      </c>
      <c r="G119" s="286"/>
      <c r="H119" s="287">
        <f t="shared" si="4"/>
        <v>8.03</v>
      </c>
      <c r="I119" s="295"/>
    </row>
    <row r="120" spans="1:9" ht="15.75">
      <c r="A120" s="290" t="s">
        <v>292</v>
      </c>
      <c r="B120" s="284">
        <f>10.66+0.3+0.2*4</f>
        <v>11.760000000000002</v>
      </c>
      <c r="C120" s="285">
        <v>2.7</v>
      </c>
      <c r="D120" s="284"/>
      <c r="E120" s="284"/>
      <c r="F120" s="286">
        <v>1</v>
      </c>
      <c r="G120" s="286"/>
      <c r="H120" s="287">
        <f t="shared" si="4"/>
        <v>31.75</v>
      </c>
      <c r="I120" s="295"/>
    </row>
    <row r="121" spans="1:9" ht="15.75">
      <c r="A121" s="290" t="s">
        <v>293</v>
      </c>
      <c r="B121" s="284">
        <f>7.27+0.2*3</f>
        <v>7.869999999999999</v>
      </c>
      <c r="C121" s="285">
        <v>2.7</v>
      </c>
      <c r="D121" s="284"/>
      <c r="E121" s="284"/>
      <c r="F121" s="286">
        <v>1</v>
      </c>
      <c r="G121" s="286"/>
      <c r="H121" s="287">
        <f t="shared" si="4"/>
        <v>21.25</v>
      </c>
      <c r="I121" s="295"/>
    </row>
    <row r="122" spans="1:9" ht="15.75">
      <c r="A122" s="290" t="s">
        <v>294</v>
      </c>
      <c r="B122" s="284">
        <v>3.39</v>
      </c>
      <c r="C122" s="285">
        <v>2.7</v>
      </c>
      <c r="D122" s="284">
        <f t="shared" si="5"/>
        <v>1.26</v>
      </c>
      <c r="E122" s="284"/>
      <c r="F122" s="286">
        <v>1</v>
      </c>
      <c r="G122" s="286"/>
      <c r="H122" s="287">
        <f t="shared" si="4"/>
        <v>7.89</v>
      </c>
      <c r="I122" s="295"/>
    </row>
    <row r="123" spans="1:9" ht="15.75">
      <c r="A123" s="290" t="s">
        <v>295</v>
      </c>
      <c r="B123" s="284">
        <v>10.66</v>
      </c>
      <c r="C123" s="285">
        <v>2.7</v>
      </c>
      <c r="D123" s="284">
        <f>(2*1.1)*3</f>
        <v>6.6000000000000005</v>
      </c>
      <c r="E123" s="284"/>
      <c r="F123" s="286">
        <v>1</v>
      </c>
      <c r="G123" s="286"/>
      <c r="H123" s="287">
        <f t="shared" si="4"/>
        <v>22.18</v>
      </c>
      <c r="I123" s="295"/>
    </row>
    <row r="124" spans="1:9" ht="12.75" customHeight="1">
      <c r="A124" s="291"/>
      <c r="B124" s="291"/>
      <c r="C124" s="291"/>
      <c r="D124" s="291"/>
      <c r="E124" s="291"/>
      <c r="F124" s="291"/>
      <c r="G124" s="262" t="s">
        <v>286</v>
      </c>
      <c r="H124" s="263">
        <f>SUM(H105:H123)</f>
        <v>259.82</v>
      </c>
      <c r="I124" s="295"/>
    </row>
    <row r="125" spans="1:9" ht="15.75">
      <c r="A125" s="268"/>
      <c r="B125" s="268"/>
      <c r="C125" s="268"/>
      <c r="D125" s="268"/>
      <c r="E125" s="268"/>
      <c r="F125" s="268"/>
      <c r="G125" s="268"/>
      <c r="H125" s="268"/>
      <c r="I125" s="295"/>
    </row>
    <row r="126" spans="1:9" ht="15.75">
      <c r="A126" s="291"/>
      <c r="B126" s="291"/>
      <c r="C126" s="291"/>
      <c r="D126" s="291"/>
      <c r="E126" s="291"/>
      <c r="F126" s="291"/>
      <c r="G126" s="257" t="s">
        <v>6</v>
      </c>
      <c r="H126" s="258">
        <f>H52+H76+H100+H124</f>
        <v>953.1899999999998</v>
      </c>
      <c r="I126" s="295"/>
    </row>
    <row r="127" spans="1:9" ht="15.75">
      <c r="A127" s="302"/>
      <c r="B127" s="302"/>
      <c r="C127" s="302"/>
      <c r="D127" s="302"/>
      <c r="E127" s="302"/>
      <c r="F127" s="302"/>
      <c r="G127" s="302"/>
      <c r="H127" s="303"/>
      <c r="I127" s="295"/>
    </row>
    <row r="128" spans="1:9" ht="15.75">
      <c r="A128" s="304" t="s">
        <v>46</v>
      </c>
      <c r="B128" s="304"/>
      <c r="C128" s="304"/>
      <c r="D128" s="304"/>
      <c r="E128" s="304"/>
      <c r="F128" s="304"/>
      <c r="G128" s="304"/>
      <c r="H128" s="294"/>
      <c r="I128" s="295"/>
    </row>
    <row r="129" spans="1:9" ht="15.75">
      <c r="A129" s="251" t="s">
        <v>297</v>
      </c>
      <c r="B129" s="251"/>
      <c r="C129" s="251"/>
      <c r="D129" s="251"/>
      <c r="E129" s="251"/>
      <c r="F129" s="251"/>
      <c r="G129" s="251"/>
      <c r="H129" s="305" t="s">
        <v>298</v>
      </c>
      <c r="I129" s="295"/>
    </row>
    <row r="130" spans="1:9" ht="15.75">
      <c r="A130" s="306" t="s">
        <v>255</v>
      </c>
      <c r="B130" s="306"/>
      <c r="C130" s="306"/>
      <c r="D130" s="306"/>
      <c r="E130" s="306"/>
      <c r="F130" s="306"/>
      <c r="G130" s="306"/>
      <c r="H130" s="307">
        <f>202.16+4.81+2.34+2.26</f>
        <v>211.57</v>
      </c>
      <c r="I130" s="295"/>
    </row>
    <row r="131" spans="1:9" ht="15.75">
      <c r="A131" s="308" t="s">
        <v>299</v>
      </c>
      <c r="B131" s="309"/>
      <c r="C131" s="309"/>
      <c r="D131" s="309"/>
      <c r="E131" s="309"/>
      <c r="F131" s="309"/>
      <c r="G131" s="310"/>
      <c r="H131" s="307">
        <f>56.37+4.93</f>
        <v>61.3</v>
      </c>
      <c r="I131" s="295"/>
    </row>
    <row r="132" spans="1:9" ht="15.75">
      <c r="A132" s="308" t="s">
        <v>300</v>
      </c>
      <c r="B132" s="309"/>
      <c r="C132" s="309"/>
      <c r="D132" s="309"/>
      <c r="E132" s="309"/>
      <c r="F132" s="309"/>
      <c r="G132" s="310"/>
      <c r="H132" s="307">
        <f>68.87+4.92</f>
        <v>73.79</v>
      </c>
      <c r="I132" s="295"/>
    </row>
    <row r="133" spans="1:9" ht="15.75">
      <c r="A133" s="308" t="s">
        <v>301</v>
      </c>
      <c r="B133" s="309"/>
      <c r="C133" s="309"/>
      <c r="D133" s="309"/>
      <c r="E133" s="309"/>
      <c r="F133" s="309"/>
      <c r="G133" s="310"/>
      <c r="H133" s="307">
        <f>67.59+4.92</f>
        <v>72.51</v>
      </c>
      <c r="I133" s="295"/>
    </row>
    <row r="134" spans="1:9" ht="15.75">
      <c r="A134" s="308" t="s">
        <v>302</v>
      </c>
      <c r="B134" s="309"/>
      <c r="C134" s="309"/>
      <c r="D134" s="309"/>
      <c r="E134" s="309"/>
      <c r="F134" s="309"/>
      <c r="G134" s="310"/>
      <c r="H134" s="307">
        <f>56.58+4.95</f>
        <v>61.53</v>
      </c>
      <c r="I134" s="295"/>
    </row>
    <row r="135" spans="1:9" ht="15.75">
      <c r="A135" s="308" t="s">
        <v>303</v>
      </c>
      <c r="B135" s="309"/>
      <c r="C135" s="309"/>
      <c r="D135" s="309"/>
      <c r="E135" s="309"/>
      <c r="F135" s="309"/>
      <c r="G135" s="310"/>
      <c r="H135" s="307">
        <f>68.73+5.29</f>
        <v>74.02000000000001</v>
      </c>
      <c r="I135" s="295"/>
    </row>
    <row r="136" spans="1:9" ht="15.75">
      <c r="A136" s="308" t="s">
        <v>304</v>
      </c>
      <c r="B136" s="309"/>
      <c r="C136" s="309"/>
      <c r="D136" s="309"/>
      <c r="E136" s="309"/>
      <c r="F136" s="309"/>
      <c r="G136" s="310"/>
      <c r="H136" s="307">
        <f>67.91+4.9</f>
        <v>72.81</v>
      </c>
      <c r="I136" s="295"/>
    </row>
    <row r="137" spans="1:9" ht="15.75">
      <c r="A137" s="308" t="s">
        <v>305</v>
      </c>
      <c r="B137" s="309"/>
      <c r="C137" s="309"/>
      <c r="D137" s="309"/>
      <c r="E137" s="309"/>
      <c r="F137" s="309"/>
      <c r="G137" s="310"/>
      <c r="H137" s="307">
        <f>57.1+5.09</f>
        <v>62.19</v>
      </c>
      <c r="I137" s="295"/>
    </row>
    <row r="138" spans="1:9" ht="15.75">
      <c r="A138" s="308" t="s">
        <v>306</v>
      </c>
      <c r="B138" s="309"/>
      <c r="C138" s="309"/>
      <c r="D138" s="309"/>
      <c r="E138" s="309"/>
      <c r="F138" s="309"/>
      <c r="G138" s="310"/>
      <c r="H138" s="307">
        <f>68.67+5.19</f>
        <v>73.86</v>
      </c>
      <c r="I138" s="295"/>
    </row>
    <row r="139" spans="1:9" ht="15.75">
      <c r="A139" s="308" t="s">
        <v>307</v>
      </c>
      <c r="B139" s="309"/>
      <c r="C139" s="309"/>
      <c r="D139" s="309"/>
      <c r="E139" s="309"/>
      <c r="F139" s="309"/>
      <c r="G139" s="310"/>
      <c r="H139" s="307">
        <f>67.76+5.24</f>
        <v>73</v>
      </c>
      <c r="I139" s="295"/>
    </row>
    <row r="140" spans="1:9" ht="15.75">
      <c r="A140" s="311"/>
      <c r="B140" s="311"/>
      <c r="C140" s="311"/>
      <c r="D140" s="311"/>
      <c r="E140" s="311"/>
      <c r="F140" s="311"/>
      <c r="G140" s="262" t="s">
        <v>6</v>
      </c>
      <c r="H140" s="312">
        <f>SUM(H130:H139)</f>
        <v>836.58</v>
      </c>
      <c r="I140" s="295"/>
    </row>
    <row r="141" spans="1:9" ht="15.75">
      <c r="A141" s="313"/>
      <c r="B141" s="313"/>
      <c r="C141" s="313"/>
      <c r="D141" s="313"/>
      <c r="E141" s="313"/>
      <c r="F141" s="313"/>
      <c r="G141" s="304"/>
      <c r="H141" s="294"/>
      <c r="I141" s="295"/>
    </row>
    <row r="142" spans="1:9" ht="15.75">
      <c r="A142" s="304" t="s">
        <v>52</v>
      </c>
      <c r="B142" s="304"/>
      <c r="C142" s="304"/>
      <c r="D142" s="304"/>
      <c r="E142" s="304"/>
      <c r="F142" s="304"/>
      <c r="G142" s="304"/>
      <c r="H142" s="294"/>
      <c r="I142" s="295"/>
    </row>
    <row r="143" spans="1:9" ht="12.75" customHeight="1">
      <c r="A143" s="251" t="s">
        <v>297</v>
      </c>
      <c r="B143" s="251"/>
      <c r="C143" s="251"/>
      <c r="D143" s="251"/>
      <c r="E143" s="251"/>
      <c r="F143" s="272" t="s">
        <v>308</v>
      </c>
      <c r="G143" s="272" t="s">
        <v>309</v>
      </c>
      <c r="H143" s="305" t="s">
        <v>310</v>
      </c>
      <c r="I143" s="295"/>
    </row>
    <row r="144" spans="1:9" ht="15.75">
      <c r="A144" s="306" t="s">
        <v>255</v>
      </c>
      <c r="B144" s="306"/>
      <c r="C144" s="306"/>
      <c r="D144" s="306"/>
      <c r="E144" s="306"/>
      <c r="F144" s="290">
        <f>49.52+2.52+2.52+2.77+4.66</f>
        <v>61.99000000000001</v>
      </c>
      <c r="G144" s="290">
        <v>0.14</v>
      </c>
      <c r="H144" s="307">
        <f>ROUND(F144*G144,2)</f>
        <v>8.68</v>
      </c>
      <c r="I144" s="295"/>
    </row>
    <row r="145" spans="1:9" ht="15.75">
      <c r="A145" s="306" t="s">
        <v>299</v>
      </c>
      <c r="B145" s="306"/>
      <c r="C145" s="306"/>
      <c r="D145" s="306"/>
      <c r="E145" s="306"/>
      <c r="F145" s="290">
        <f>32.8+8.81</f>
        <v>41.61</v>
      </c>
      <c r="G145" s="290">
        <v>0.14</v>
      </c>
      <c r="H145" s="307">
        <f aca="true" t="shared" si="6" ref="H145:H153">ROUND(F145*G145,2)</f>
        <v>5.83</v>
      </c>
      <c r="I145" s="295"/>
    </row>
    <row r="146" spans="1:9" ht="15.75">
      <c r="A146" s="306" t="s">
        <v>300</v>
      </c>
      <c r="B146" s="306"/>
      <c r="C146" s="306"/>
      <c r="D146" s="306"/>
      <c r="E146" s="306"/>
      <c r="F146" s="290">
        <f>33.83+8.89</f>
        <v>42.72</v>
      </c>
      <c r="G146" s="290">
        <v>0.14</v>
      </c>
      <c r="H146" s="307">
        <f t="shared" si="6"/>
        <v>5.98</v>
      </c>
      <c r="I146" s="295"/>
    </row>
    <row r="147" spans="1:9" ht="15.75">
      <c r="A147" s="306" t="s">
        <v>301</v>
      </c>
      <c r="B147" s="306"/>
      <c r="C147" s="306"/>
      <c r="D147" s="306"/>
      <c r="E147" s="306"/>
      <c r="F147" s="290">
        <f>33.56+8.76</f>
        <v>42.32</v>
      </c>
      <c r="G147" s="290">
        <v>0.14</v>
      </c>
      <c r="H147" s="307">
        <f t="shared" si="6"/>
        <v>5.92</v>
      </c>
      <c r="I147" s="295"/>
    </row>
    <row r="148" spans="1:9" ht="15.75">
      <c r="A148" s="306" t="s">
        <v>302</v>
      </c>
      <c r="B148" s="306"/>
      <c r="C148" s="306"/>
      <c r="D148" s="306"/>
      <c r="E148" s="306"/>
      <c r="F148" s="290">
        <f>32.9+8.84</f>
        <v>41.739999999999995</v>
      </c>
      <c r="G148" s="290">
        <v>0.14</v>
      </c>
      <c r="H148" s="307">
        <f t="shared" si="6"/>
        <v>5.84</v>
      </c>
      <c r="I148" s="295"/>
    </row>
    <row r="149" spans="1:9" ht="15.75">
      <c r="A149" s="306" t="s">
        <v>303</v>
      </c>
      <c r="B149" s="306"/>
      <c r="C149" s="306"/>
      <c r="D149" s="306"/>
      <c r="E149" s="306"/>
      <c r="F149" s="290">
        <f>33.9+9.02</f>
        <v>42.92</v>
      </c>
      <c r="G149" s="290">
        <v>0.14</v>
      </c>
      <c r="H149" s="307">
        <f t="shared" si="6"/>
        <v>6.01</v>
      </c>
      <c r="I149" s="295"/>
    </row>
    <row r="150" spans="1:9" ht="15.75">
      <c r="A150" s="306" t="s">
        <v>304</v>
      </c>
      <c r="B150" s="306"/>
      <c r="C150" s="306"/>
      <c r="D150" s="306"/>
      <c r="E150" s="306"/>
      <c r="F150" s="290">
        <f>32.86+8.77</f>
        <v>41.629999999999995</v>
      </c>
      <c r="G150" s="290">
        <v>0.14</v>
      </c>
      <c r="H150" s="307">
        <f t="shared" si="6"/>
        <v>5.83</v>
      </c>
      <c r="I150" s="295"/>
    </row>
    <row r="151" spans="1:9" ht="15.75">
      <c r="A151" s="306" t="s">
        <v>305</v>
      </c>
      <c r="B151" s="306"/>
      <c r="C151" s="306"/>
      <c r="D151" s="306"/>
      <c r="E151" s="306"/>
      <c r="F151" s="290">
        <f>33.01+8.96</f>
        <v>41.97</v>
      </c>
      <c r="G151" s="290">
        <v>0.14</v>
      </c>
      <c r="H151" s="307">
        <f t="shared" si="6"/>
        <v>5.88</v>
      </c>
      <c r="I151" s="295"/>
    </row>
    <row r="152" spans="1:9" ht="15.75">
      <c r="A152" s="306" t="s">
        <v>306</v>
      </c>
      <c r="B152" s="306"/>
      <c r="C152" s="306"/>
      <c r="D152" s="306"/>
      <c r="E152" s="306"/>
      <c r="F152" s="290">
        <f>33.9+8.9</f>
        <v>42.8</v>
      </c>
      <c r="G152" s="290">
        <v>0.14</v>
      </c>
      <c r="H152" s="307">
        <f t="shared" si="6"/>
        <v>5.99</v>
      </c>
      <c r="I152" s="295"/>
    </row>
    <row r="153" spans="1:9" ht="15.75">
      <c r="A153" s="306" t="s">
        <v>307</v>
      </c>
      <c r="B153" s="306"/>
      <c r="C153" s="306"/>
      <c r="D153" s="306"/>
      <c r="E153" s="306"/>
      <c r="F153" s="290">
        <f>32.82+8.99</f>
        <v>41.81</v>
      </c>
      <c r="G153" s="290">
        <v>0.14</v>
      </c>
      <c r="H153" s="307">
        <f t="shared" si="6"/>
        <v>5.85</v>
      </c>
      <c r="I153" s="295"/>
    </row>
    <row r="154" spans="1:9" ht="15.75">
      <c r="A154" s="188"/>
      <c r="B154" s="188"/>
      <c r="C154" s="188"/>
      <c r="D154" s="188"/>
      <c r="E154" s="188"/>
      <c r="F154" s="314"/>
      <c r="G154" s="315" t="s">
        <v>6</v>
      </c>
      <c r="H154" s="312">
        <f>SUM(H144:H153)</f>
        <v>61.81</v>
      </c>
      <c r="I154" s="295"/>
    </row>
    <row r="155" spans="1:9" ht="15.75">
      <c r="A155" s="313"/>
      <c r="B155" s="313"/>
      <c r="C155" s="313"/>
      <c r="D155" s="313"/>
      <c r="E155" s="313"/>
      <c r="F155" s="313"/>
      <c r="G155" s="304"/>
      <c r="H155" s="294"/>
      <c r="I155" s="295"/>
    </row>
    <row r="156" spans="1:9" ht="12.75" customHeight="1">
      <c r="A156" s="304" t="s">
        <v>311</v>
      </c>
      <c r="B156" s="304"/>
      <c r="C156" s="304"/>
      <c r="D156" s="304"/>
      <c r="E156" s="304"/>
      <c r="F156" s="304"/>
      <c r="G156" s="304"/>
      <c r="H156" s="294"/>
      <c r="I156" s="295"/>
    </row>
    <row r="157" spans="1:9" ht="15.75">
      <c r="A157" s="251" t="s">
        <v>249</v>
      </c>
      <c r="B157" s="251"/>
      <c r="C157" s="251"/>
      <c r="D157" s="272" t="s">
        <v>312</v>
      </c>
      <c r="E157" s="272" t="s">
        <v>313</v>
      </c>
      <c r="F157" s="272" t="s">
        <v>314</v>
      </c>
      <c r="G157" s="252" t="s">
        <v>315</v>
      </c>
      <c r="H157" s="253" t="s">
        <v>251</v>
      </c>
      <c r="I157" s="295"/>
    </row>
    <row r="158" spans="1:9" ht="15.75">
      <c r="A158" s="306" t="s">
        <v>316</v>
      </c>
      <c r="B158" s="306"/>
      <c r="C158" s="306"/>
      <c r="D158" s="290">
        <f>(0.6*2.1)*2</f>
        <v>2.52</v>
      </c>
      <c r="E158" s="290">
        <f>(2.1*0.15)*2+(0.6*0.15)</f>
        <v>0.72</v>
      </c>
      <c r="F158" s="290">
        <f>(2.1*0.05)*2+(0.6+0.05+0.05)*0.05</f>
        <v>0.24500000000000002</v>
      </c>
      <c r="G158" s="316">
        <v>11</v>
      </c>
      <c r="H158" s="287">
        <f>ROUND((D158+E158+F158)*G158,2)</f>
        <v>38.34</v>
      </c>
      <c r="I158" s="295"/>
    </row>
    <row r="159" spans="1:9" ht="15.75">
      <c r="A159" s="306" t="s">
        <v>317</v>
      </c>
      <c r="B159" s="306"/>
      <c r="C159" s="306"/>
      <c r="D159" s="290">
        <f>(0.8*2.1)*2</f>
        <v>3.3600000000000003</v>
      </c>
      <c r="E159" s="290">
        <f>(2.1*0.15)*2+(0.8*0.15)</f>
        <v>0.75</v>
      </c>
      <c r="F159" s="290">
        <f>(2.1*0.05)*2+(0.8+0.05+0.05)*0.05</f>
        <v>0.255</v>
      </c>
      <c r="G159" s="316">
        <v>1</v>
      </c>
      <c r="H159" s="287">
        <f>ROUND((D159+E159+F159)*G159,2)</f>
        <v>4.37</v>
      </c>
      <c r="I159" s="295"/>
    </row>
    <row r="160" spans="1:9" ht="15.75">
      <c r="A160" s="306" t="s">
        <v>318</v>
      </c>
      <c r="B160" s="306"/>
      <c r="C160" s="306"/>
      <c r="D160" s="290">
        <f>(0.6*1.84)*2</f>
        <v>2.208</v>
      </c>
      <c r="E160" s="290">
        <f>(1.84*0.15)*2+(0.6*0.15)</f>
        <v>0.642</v>
      </c>
      <c r="F160" s="290">
        <f>(1.84*0.05)*2+(0.6+0.05+0.05)*0.05</f>
        <v>0.21900000000000003</v>
      </c>
      <c r="G160" s="316">
        <v>1</v>
      </c>
      <c r="H160" s="287">
        <f>ROUND((D160+E160+F160)*G160,2)</f>
        <v>3.07</v>
      </c>
      <c r="I160" s="295"/>
    </row>
    <row r="161" spans="1:9" ht="15.75">
      <c r="A161" s="188"/>
      <c r="B161" s="188"/>
      <c r="C161" s="188"/>
      <c r="D161" s="188"/>
      <c r="E161" s="188"/>
      <c r="F161" s="314"/>
      <c r="G161" s="317" t="s">
        <v>6</v>
      </c>
      <c r="H161" s="258">
        <f>SUM(H158:H160)</f>
        <v>45.78</v>
      </c>
      <c r="I161" s="295"/>
    </row>
    <row r="162" spans="1:9" ht="15.75">
      <c r="A162" s="313"/>
      <c r="B162" s="313"/>
      <c r="C162" s="313"/>
      <c r="D162" s="313"/>
      <c r="E162" s="313"/>
      <c r="F162" s="313"/>
      <c r="G162" s="304"/>
      <c r="H162" s="294"/>
      <c r="I162" s="295"/>
    </row>
    <row r="163" spans="1:9" ht="12.75" customHeight="1">
      <c r="A163" s="304" t="s">
        <v>64</v>
      </c>
      <c r="B163" s="304"/>
      <c r="C163" s="304"/>
      <c r="D163" s="304"/>
      <c r="E163" s="304"/>
      <c r="F163" s="304"/>
      <c r="G163" s="304"/>
      <c r="H163" s="294"/>
      <c r="I163" s="295"/>
    </row>
    <row r="164" spans="1:9" ht="15.75">
      <c r="A164" s="251" t="s">
        <v>249</v>
      </c>
      <c r="B164" s="251"/>
      <c r="C164" s="251"/>
      <c r="D164" s="251"/>
      <c r="E164" s="251"/>
      <c r="F164" s="272" t="s">
        <v>309</v>
      </c>
      <c r="G164" s="272" t="s">
        <v>308</v>
      </c>
      <c r="H164" s="253" t="s">
        <v>251</v>
      </c>
      <c r="I164" s="295"/>
    </row>
    <row r="165" spans="1:9" ht="15.75">
      <c r="A165" s="306" t="s">
        <v>319</v>
      </c>
      <c r="B165" s="306"/>
      <c r="C165" s="306"/>
      <c r="D165" s="306"/>
      <c r="E165" s="306"/>
      <c r="F165" s="290">
        <v>0.16</v>
      </c>
      <c r="G165" s="290">
        <f>30.74+18.47</f>
        <v>49.209999999999994</v>
      </c>
      <c r="H165" s="287">
        <f>ROUND(F165*G165,2)</f>
        <v>7.87</v>
      </c>
      <c r="I165" s="295"/>
    </row>
    <row r="166" spans="1:9" ht="15.75">
      <c r="A166" s="306" t="s">
        <v>320</v>
      </c>
      <c r="B166" s="306"/>
      <c r="C166" s="306"/>
      <c r="D166" s="306"/>
      <c r="E166" s="306"/>
      <c r="F166" s="290">
        <v>0.08</v>
      </c>
      <c r="G166" s="290">
        <f>18.11*4</f>
        <v>72.44</v>
      </c>
      <c r="H166" s="287">
        <f>ROUND(F166*G166,2)</f>
        <v>5.8</v>
      </c>
      <c r="I166" s="295"/>
    </row>
    <row r="167" spans="1:9" ht="15.75">
      <c r="A167" s="306" t="s">
        <v>321</v>
      </c>
      <c r="B167" s="306"/>
      <c r="C167" s="306"/>
      <c r="D167" s="306"/>
      <c r="E167" s="306"/>
      <c r="F167" s="290">
        <v>0.05</v>
      </c>
      <c r="G167" s="290">
        <f>(1.95*12)*2</f>
        <v>46.8</v>
      </c>
      <c r="H167" s="287">
        <f>ROUND(F167*G167,2)</f>
        <v>2.34</v>
      </c>
      <c r="I167" s="295"/>
    </row>
    <row r="168" spans="1:9" ht="15.75">
      <c r="A168" s="188"/>
      <c r="B168" s="188"/>
      <c r="C168" s="188"/>
      <c r="D168" s="188"/>
      <c r="E168" s="188"/>
      <c r="F168" s="314"/>
      <c r="G168" s="317" t="s">
        <v>6</v>
      </c>
      <c r="H168" s="258">
        <f>SUM(H165:H167)</f>
        <v>16.009999999999998</v>
      </c>
      <c r="I168" s="295"/>
    </row>
    <row r="169" spans="1:9" ht="15.75">
      <c r="A169" s="313"/>
      <c r="B169" s="313"/>
      <c r="C169" s="313"/>
      <c r="D169" s="313"/>
      <c r="E169" s="313"/>
      <c r="F169" s="313"/>
      <c r="G169" s="304"/>
      <c r="H169" s="294"/>
      <c r="I169" s="295"/>
    </row>
    <row r="170" spans="1:9" ht="12.75" customHeight="1">
      <c r="A170" s="304" t="s">
        <v>70</v>
      </c>
      <c r="B170" s="304"/>
      <c r="C170" s="304"/>
      <c r="D170" s="304"/>
      <c r="E170" s="304"/>
      <c r="F170" s="304"/>
      <c r="G170" s="304"/>
      <c r="H170" s="294"/>
      <c r="I170" s="295"/>
    </row>
    <row r="171" spans="1:9" ht="47.25">
      <c r="A171" s="251" t="s">
        <v>249</v>
      </c>
      <c r="B171" s="251"/>
      <c r="C171" s="251"/>
      <c r="D171" s="272" t="s">
        <v>322</v>
      </c>
      <c r="E171" s="272" t="s">
        <v>323</v>
      </c>
      <c r="F171" s="272" t="s">
        <v>324</v>
      </c>
      <c r="G171" s="272" t="s">
        <v>325</v>
      </c>
      <c r="H171" s="253" t="s">
        <v>251</v>
      </c>
      <c r="I171" s="295"/>
    </row>
    <row r="172" spans="1:9" ht="15.75">
      <c r="A172" s="318" t="s">
        <v>326</v>
      </c>
      <c r="B172" s="319"/>
      <c r="C172" s="320"/>
      <c r="D172" s="321">
        <v>38.9</v>
      </c>
      <c r="E172" s="321">
        <f>38.9*4+1.15*16</f>
        <v>174</v>
      </c>
      <c r="F172" s="321">
        <v>0.25</v>
      </c>
      <c r="G172" s="321">
        <v>0.2</v>
      </c>
      <c r="H172" s="322">
        <f>ROUND((D172*F172)+(E172*G172),2)</f>
        <v>44.53</v>
      </c>
      <c r="I172" s="295"/>
    </row>
    <row r="173" spans="1:9" ht="15.75">
      <c r="A173" s="318" t="s">
        <v>327</v>
      </c>
      <c r="B173" s="319"/>
      <c r="C173" s="320"/>
      <c r="D173" s="321">
        <v>37.75</v>
      </c>
      <c r="E173" s="321">
        <f>37.75*4+1.15*16</f>
        <v>169.4</v>
      </c>
      <c r="F173" s="321">
        <v>0.25</v>
      </c>
      <c r="G173" s="321">
        <v>0.2</v>
      </c>
      <c r="H173" s="322">
        <f>ROUND((D173*F173)+(E173*G173),2)</f>
        <v>43.32</v>
      </c>
      <c r="I173" s="295"/>
    </row>
    <row r="174" spans="1:9" ht="15.75">
      <c r="A174" s="318" t="s">
        <v>328</v>
      </c>
      <c r="B174" s="319"/>
      <c r="C174" s="320"/>
      <c r="D174" s="321">
        <v>36.82</v>
      </c>
      <c r="E174" s="321">
        <f>36.82*4+1.15*16</f>
        <v>165.68</v>
      </c>
      <c r="F174" s="321">
        <v>0.25</v>
      </c>
      <c r="G174" s="321">
        <v>0.2</v>
      </c>
      <c r="H174" s="322">
        <f>ROUND((D174*F174)+(E174*G174),)</f>
        <v>42</v>
      </c>
      <c r="I174" s="295"/>
    </row>
    <row r="175" spans="1:9" ht="15.75">
      <c r="A175" s="188"/>
      <c r="B175" s="188"/>
      <c r="C175" s="188"/>
      <c r="D175" s="188"/>
      <c r="E175" s="188"/>
      <c r="F175" s="314"/>
      <c r="G175" s="317" t="s">
        <v>6</v>
      </c>
      <c r="H175" s="258">
        <f>SUM(H172:H174)</f>
        <v>129.85</v>
      </c>
      <c r="I175" s="295"/>
    </row>
    <row r="176" spans="1:9" ht="15.75">
      <c r="A176" s="313"/>
      <c r="B176" s="313"/>
      <c r="C176" s="313"/>
      <c r="D176" s="313"/>
      <c r="E176" s="313"/>
      <c r="F176" s="313"/>
      <c r="G176" s="304"/>
      <c r="H176" s="294"/>
      <c r="I176" s="295"/>
    </row>
    <row r="177" spans="1:9" ht="12.75" customHeight="1">
      <c r="A177" s="304" t="s">
        <v>329</v>
      </c>
      <c r="B177" s="304"/>
      <c r="C177" s="304"/>
      <c r="D177" s="304"/>
      <c r="E177" s="304"/>
      <c r="F177" s="304"/>
      <c r="G177" s="304"/>
      <c r="H177" s="294"/>
      <c r="I177" s="295"/>
    </row>
    <row r="178" spans="1:9" s="183" customFormat="1" ht="31.5">
      <c r="A178" s="251" t="s">
        <v>249</v>
      </c>
      <c r="B178" s="251"/>
      <c r="C178" s="251"/>
      <c r="D178" s="272" t="s">
        <v>330</v>
      </c>
      <c r="E178" s="272" t="s">
        <v>309</v>
      </c>
      <c r="F178" s="272" t="s">
        <v>331</v>
      </c>
      <c r="G178" s="272" t="s">
        <v>332</v>
      </c>
      <c r="H178" s="253" t="s">
        <v>251</v>
      </c>
      <c r="I178" s="295"/>
    </row>
    <row r="179" spans="1:9" ht="22.5" customHeight="1">
      <c r="A179" s="306" t="s">
        <v>333</v>
      </c>
      <c r="B179" s="306"/>
      <c r="C179" s="306"/>
      <c r="D179" s="321">
        <v>3</v>
      </c>
      <c r="E179" s="321">
        <v>2.9</v>
      </c>
      <c r="F179" s="321">
        <f>0.48*0.45*2+0.9*E179</f>
        <v>3.042</v>
      </c>
      <c r="G179" s="321">
        <v>3</v>
      </c>
      <c r="H179" s="322">
        <f>ROUND(((D179*E179)*2+F179)*G179,2)</f>
        <v>61.33</v>
      </c>
      <c r="I179" s="295"/>
    </row>
    <row r="180" spans="1:9" ht="15.75">
      <c r="A180" s="306" t="s">
        <v>334</v>
      </c>
      <c r="B180" s="306"/>
      <c r="C180" s="306"/>
      <c r="D180" s="321">
        <v>3</v>
      </c>
      <c r="E180" s="321">
        <v>2.6</v>
      </c>
      <c r="F180" s="321">
        <f>0.48*0.45*2+0.9*E180</f>
        <v>2.7720000000000002</v>
      </c>
      <c r="G180" s="321">
        <v>2</v>
      </c>
      <c r="H180" s="322">
        <f>ROUND(((D180*E180)*2+F180)*G180,2)</f>
        <v>36.74</v>
      </c>
      <c r="I180" s="295"/>
    </row>
    <row r="181" spans="1:9" ht="15.75">
      <c r="A181" s="306" t="s">
        <v>335</v>
      </c>
      <c r="B181" s="306"/>
      <c r="C181" s="306"/>
      <c r="D181" s="321">
        <v>3</v>
      </c>
      <c r="E181" s="321">
        <v>3.17</v>
      </c>
      <c r="F181" s="321">
        <f>0.48*0.45*2+0.9*E181</f>
        <v>3.285</v>
      </c>
      <c r="G181" s="321">
        <v>1</v>
      </c>
      <c r="H181" s="322">
        <f>ROUND(((D181*E181)*2+F181)*G181,2)</f>
        <v>22.31</v>
      </c>
      <c r="I181" s="295"/>
    </row>
    <row r="182" spans="1:9" ht="15.75">
      <c r="A182" s="188"/>
      <c r="B182" s="188"/>
      <c r="C182" s="188"/>
      <c r="D182" s="188"/>
      <c r="E182" s="188"/>
      <c r="F182" s="314"/>
      <c r="G182" s="317" t="s">
        <v>6</v>
      </c>
      <c r="H182" s="258">
        <f>SUM(H179:H181)</f>
        <v>120.38</v>
      </c>
      <c r="I182" s="295"/>
    </row>
    <row r="183" spans="1:9" ht="15.75">
      <c r="A183" s="313"/>
      <c r="B183" s="313"/>
      <c r="C183" s="313"/>
      <c r="D183" s="313"/>
      <c r="E183" s="313"/>
      <c r="F183" s="313"/>
      <c r="G183" s="304"/>
      <c r="H183" s="294"/>
      <c r="I183" s="295"/>
    </row>
    <row r="184" spans="1:9" ht="12.75" customHeight="1">
      <c r="A184" s="304" t="s">
        <v>78</v>
      </c>
      <c r="B184" s="304"/>
      <c r="C184" s="304"/>
      <c r="D184" s="304"/>
      <c r="E184" s="304"/>
      <c r="F184" s="304"/>
      <c r="G184" s="304"/>
      <c r="H184" s="294"/>
      <c r="I184" s="295"/>
    </row>
    <row r="185" spans="1:9" ht="31.5">
      <c r="A185" s="288" t="s">
        <v>249</v>
      </c>
      <c r="B185" s="289"/>
      <c r="C185" s="289"/>
      <c r="D185" s="323"/>
      <c r="E185" s="272" t="s">
        <v>330</v>
      </c>
      <c r="F185" s="272" t="s">
        <v>309</v>
      </c>
      <c r="G185" s="272" t="s">
        <v>332</v>
      </c>
      <c r="H185" s="253" t="s">
        <v>251</v>
      </c>
      <c r="I185" s="295"/>
    </row>
    <row r="186" spans="1:9" ht="22.5" customHeight="1">
      <c r="A186" s="308" t="s">
        <v>336</v>
      </c>
      <c r="B186" s="309"/>
      <c r="C186" s="309"/>
      <c r="D186" s="310"/>
      <c r="E186" s="321">
        <v>3</v>
      </c>
      <c r="F186" s="321">
        <v>1.33</v>
      </c>
      <c r="G186" s="321">
        <v>1</v>
      </c>
      <c r="H186" s="322">
        <f>ROUND((E186*F186)*2*G186,2)</f>
        <v>7.98</v>
      </c>
      <c r="I186" s="295"/>
    </row>
    <row r="187" spans="1:9" ht="15.75">
      <c r="A187" s="308" t="s">
        <v>337</v>
      </c>
      <c r="B187" s="309"/>
      <c r="C187" s="309"/>
      <c r="D187" s="310"/>
      <c r="E187" s="321">
        <v>2.8</v>
      </c>
      <c r="F187" s="321">
        <v>1.23</v>
      </c>
      <c r="G187" s="321">
        <v>1</v>
      </c>
      <c r="H187" s="322">
        <f>ROUND((E187*F187)*2*G187,2)</f>
        <v>6.89</v>
      </c>
      <c r="I187" s="295"/>
    </row>
    <row r="188" spans="1:9" ht="15.75">
      <c r="A188" s="308" t="s">
        <v>338</v>
      </c>
      <c r="B188" s="309"/>
      <c r="C188" s="309"/>
      <c r="D188" s="310"/>
      <c r="E188" s="321">
        <v>1.68</v>
      </c>
      <c r="F188" s="321">
        <v>0.55</v>
      </c>
      <c r="G188" s="321">
        <v>1</v>
      </c>
      <c r="H188" s="322">
        <f>ROUND((E188*F188)*2*G188,2)</f>
        <v>1.85</v>
      </c>
      <c r="I188" s="295"/>
    </row>
    <row r="189" spans="1:9" ht="15.75">
      <c r="A189" s="188" t="s">
        <v>339</v>
      </c>
      <c r="B189" s="188"/>
      <c r="C189" s="188"/>
      <c r="D189" s="188"/>
      <c r="E189" s="188"/>
      <c r="F189" s="314"/>
      <c r="G189" s="317" t="s">
        <v>340</v>
      </c>
      <c r="H189" s="258">
        <f>SUM(H186:H188)</f>
        <v>16.720000000000002</v>
      </c>
      <c r="I189" s="295"/>
    </row>
    <row r="190" spans="1:9" ht="15.75">
      <c r="A190" s="313"/>
      <c r="B190" s="313"/>
      <c r="C190" s="313"/>
      <c r="D190" s="313"/>
      <c r="E190" s="313"/>
      <c r="F190" s="313"/>
      <c r="G190" s="304"/>
      <c r="H190" s="294"/>
      <c r="I190" s="295"/>
    </row>
    <row r="191" spans="1:9" ht="12.75" customHeight="1">
      <c r="A191" s="304" t="s">
        <v>341</v>
      </c>
      <c r="B191" s="304"/>
      <c r="C191" s="304"/>
      <c r="D191" s="304"/>
      <c r="E191" s="304"/>
      <c r="F191" s="304"/>
      <c r="G191" s="304"/>
      <c r="H191" s="294"/>
      <c r="I191" s="295"/>
    </row>
    <row r="192" spans="1:9" ht="15.75">
      <c r="A192" s="288" t="s">
        <v>249</v>
      </c>
      <c r="B192" s="289"/>
      <c r="C192" s="289"/>
      <c r="D192" s="289"/>
      <c r="E192" s="323"/>
      <c r="F192" s="272" t="s">
        <v>342</v>
      </c>
      <c r="G192" s="272" t="s">
        <v>343</v>
      </c>
      <c r="H192" s="253" t="s">
        <v>251</v>
      </c>
      <c r="I192" s="295"/>
    </row>
    <row r="193" spans="1:9" ht="15.75">
      <c r="A193" s="308" t="s">
        <v>344</v>
      </c>
      <c r="B193" s="309"/>
      <c r="C193" s="309"/>
      <c r="D193" s="309"/>
      <c r="E193" s="310"/>
      <c r="F193" s="321">
        <v>212.84</v>
      </c>
      <c r="G193" s="321">
        <f>3.83+0.84+1.43*1.43*2+1.2*1.2*2+1.25+1.25</f>
        <v>14.139799999999997</v>
      </c>
      <c r="H193" s="322" t="s">
        <v>345</v>
      </c>
      <c r="I193" s="295"/>
    </row>
    <row r="194" spans="1:9" ht="12.75" customHeight="1">
      <c r="A194" s="288" t="s">
        <v>249</v>
      </c>
      <c r="B194" s="289"/>
      <c r="C194" s="289"/>
      <c r="D194" s="289"/>
      <c r="E194" s="323"/>
      <c r="F194" s="272" t="s">
        <v>346</v>
      </c>
      <c r="G194" s="272" t="s">
        <v>347</v>
      </c>
      <c r="H194" s="253"/>
      <c r="I194" s="295"/>
    </row>
    <row r="195" spans="1:9" ht="15.75">
      <c r="A195" s="308" t="s">
        <v>348</v>
      </c>
      <c r="B195" s="309"/>
      <c r="C195" s="309"/>
      <c r="D195" s="309"/>
      <c r="E195" s="310"/>
      <c r="F195" s="321">
        <f>(1.19*0.12*2+1.43*0.12*2)*2+(0.96*0.12*2+1.2*0.12*2)*2+1.001*0.12*2+1.25*0.12*2</f>
        <v>2.8346399999999994</v>
      </c>
      <c r="G195" s="321">
        <f>1.43*0.25*4*2+1.25*0.25*4*2+1.25*0.25*4</f>
        <v>6.609999999999999</v>
      </c>
      <c r="H195" s="322">
        <f>F195+G195</f>
        <v>9.44464</v>
      </c>
      <c r="I195" s="295"/>
    </row>
    <row r="196" spans="1:9" ht="15.75">
      <c r="A196" s="188"/>
      <c r="B196" s="188"/>
      <c r="C196" s="188"/>
      <c r="D196" s="188"/>
      <c r="E196" s="188"/>
      <c r="F196" s="314"/>
      <c r="G196" s="317" t="s">
        <v>6</v>
      </c>
      <c r="H196" s="258">
        <f>SUM(H193:H195)</f>
        <v>9.44464</v>
      </c>
      <c r="I196" s="295"/>
    </row>
    <row r="197" spans="1:9" ht="15.75">
      <c r="A197" s="313"/>
      <c r="B197" s="313"/>
      <c r="C197" s="313"/>
      <c r="D197" s="313"/>
      <c r="E197" s="313"/>
      <c r="F197" s="313"/>
      <c r="G197" s="304"/>
      <c r="H197" s="294"/>
      <c r="I197" s="295"/>
    </row>
    <row r="198" spans="1:9" ht="12.75" customHeight="1">
      <c r="A198" s="304" t="s">
        <v>349</v>
      </c>
      <c r="B198" s="304"/>
      <c r="C198" s="304"/>
      <c r="D198" s="304"/>
      <c r="E198" s="304"/>
      <c r="F198" s="304"/>
      <c r="G198" s="304"/>
      <c r="H198" s="294"/>
      <c r="I198" s="295"/>
    </row>
    <row r="199" spans="1:9" ht="31.5">
      <c r="A199" s="251" t="s">
        <v>249</v>
      </c>
      <c r="B199" s="251"/>
      <c r="C199" s="251"/>
      <c r="D199" s="251"/>
      <c r="E199" s="251"/>
      <c r="F199" s="272" t="s">
        <v>342</v>
      </c>
      <c r="G199" s="272" t="s">
        <v>332</v>
      </c>
      <c r="H199" s="253" t="s">
        <v>251</v>
      </c>
      <c r="I199" s="295"/>
    </row>
    <row r="200" spans="1:9" ht="15.75">
      <c r="A200" s="306" t="s">
        <v>350</v>
      </c>
      <c r="B200" s="306"/>
      <c r="C200" s="306"/>
      <c r="D200" s="306"/>
      <c r="E200" s="306"/>
      <c r="F200" s="321">
        <f>0.9*0.6+0.9*0.18*2+0.6*0.18*2</f>
        <v>1.08</v>
      </c>
      <c r="G200" s="321">
        <v>4</v>
      </c>
      <c r="H200" s="322">
        <f>ROUND(F200*G200,2)</f>
        <v>4.32</v>
      </c>
      <c r="I200" s="295"/>
    </row>
    <row r="201" spans="1:9" ht="31.5">
      <c r="A201" s="251" t="s">
        <v>249</v>
      </c>
      <c r="B201" s="251"/>
      <c r="C201" s="251"/>
      <c r="D201" s="251"/>
      <c r="E201" s="324" t="s">
        <v>351</v>
      </c>
      <c r="F201" s="272" t="s">
        <v>352</v>
      </c>
      <c r="G201" s="272" t="s">
        <v>332</v>
      </c>
      <c r="H201" s="253" t="s">
        <v>251</v>
      </c>
      <c r="I201" s="295"/>
    </row>
    <row r="202" spans="1:9" ht="15.75">
      <c r="A202" s="306" t="s">
        <v>353</v>
      </c>
      <c r="B202" s="306"/>
      <c r="C202" s="306"/>
      <c r="D202" s="306"/>
      <c r="E202" s="321">
        <v>0.2</v>
      </c>
      <c r="F202" s="321">
        <v>3.2</v>
      </c>
      <c r="G202" s="321">
        <v>4</v>
      </c>
      <c r="H202" s="322">
        <f>ROUND(G202*F202*E202,2)</f>
        <v>2.56</v>
      </c>
      <c r="I202" s="295"/>
    </row>
    <row r="203" spans="1:9" ht="15.75">
      <c r="A203" s="188"/>
      <c r="B203" s="188"/>
      <c r="C203" s="188"/>
      <c r="D203" s="188"/>
      <c r="E203" s="188"/>
      <c r="F203" s="314"/>
      <c r="G203" s="317" t="s">
        <v>6</v>
      </c>
      <c r="H203" s="258">
        <f>SUM(H200:H202)</f>
        <v>6.880000000000001</v>
      </c>
      <c r="I203" s="295"/>
    </row>
    <row r="204" spans="1:9" ht="15.75">
      <c r="A204" s="313"/>
      <c r="B204" s="313"/>
      <c r="C204" s="313"/>
      <c r="D204" s="313"/>
      <c r="E204" s="313"/>
      <c r="F204" s="313"/>
      <c r="G204" s="304"/>
      <c r="H204" s="294"/>
      <c r="I204" s="295"/>
    </row>
    <row r="205" spans="1:9" ht="12.75" customHeight="1">
      <c r="A205" s="304" t="s">
        <v>354</v>
      </c>
      <c r="B205" s="304"/>
      <c r="C205" s="304"/>
      <c r="D205" s="304"/>
      <c r="E205" s="304"/>
      <c r="F205" s="304"/>
      <c r="G205" s="304"/>
      <c r="H205" s="294"/>
      <c r="I205" s="295"/>
    </row>
    <row r="206" spans="1:9" ht="31.5">
      <c r="A206" s="251" t="s">
        <v>249</v>
      </c>
      <c r="B206" s="251"/>
      <c r="C206" s="251"/>
      <c r="D206" s="251"/>
      <c r="E206" s="251"/>
      <c r="F206" s="272" t="s">
        <v>342</v>
      </c>
      <c r="G206" s="272" t="s">
        <v>332</v>
      </c>
      <c r="H206" s="253" t="s">
        <v>251</v>
      </c>
      <c r="I206" s="295"/>
    </row>
    <row r="207" spans="1:9" ht="22.5" customHeight="1">
      <c r="A207" s="306" t="s">
        <v>355</v>
      </c>
      <c r="B207" s="306"/>
      <c r="C207" s="306"/>
      <c r="D207" s="306"/>
      <c r="E207" s="306"/>
      <c r="F207" s="321">
        <f>0.8*0.8</f>
        <v>0.6400000000000001</v>
      </c>
      <c r="G207" s="321">
        <v>5</v>
      </c>
      <c r="H207" s="322">
        <f>ROUND(F207*G207,2)</f>
        <v>3.2</v>
      </c>
      <c r="I207" s="295"/>
    </row>
    <row r="208" spans="1:9" ht="15.75">
      <c r="A208" s="306" t="s">
        <v>356</v>
      </c>
      <c r="B208" s="306"/>
      <c r="C208" s="306"/>
      <c r="D208" s="306"/>
      <c r="E208" s="306"/>
      <c r="F208" s="321">
        <f>1*1</f>
        <v>1</v>
      </c>
      <c r="G208" s="321">
        <v>4</v>
      </c>
      <c r="H208" s="322">
        <f>ROUND(F208*G208,2)</f>
        <v>4</v>
      </c>
      <c r="I208" s="295"/>
    </row>
    <row r="209" spans="1:9" ht="15.75">
      <c r="A209" s="306" t="s">
        <v>357</v>
      </c>
      <c r="B209" s="306"/>
      <c r="C209" s="306"/>
      <c r="D209" s="306"/>
      <c r="E209" s="306"/>
      <c r="F209" s="321">
        <f>4.45*2.63</f>
        <v>11.7035</v>
      </c>
      <c r="G209" s="321">
        <v>1</v>
      </c>
      <c r="H209" s="322">
        <f>ROUND(F209*G209,2)</f>
        <v>11.7</v>
      </c>
      <c r="I209" s="295"/>
    </row>
    <row r="210" spans="1:9" ht="15.75">
      <c r="A210" s="188"/>
      <c r="B210" s="188"/>
      <c r="C210" s="188"/>
      <c r="D210" s="188"/>
      <c r="E210" s="188"/>
      <c r="F210" s="314"/>
      <c r="G210" s="317" t="s">
        <v>6</v>
      </c>
      <c r="H210" s="258">
        <f>SUM(H207:H209)</f>
        <v>18.9</v>
      </c>
      <c r="I210" s="295"/>
    </row>
    <row r="211" spans="1:9" ht="15.75">
      <c r="A211" s="313"/>
      <c r="B211" s="313"/>
      <c r="C211" s="313"/>
      <c r="D211" s="313"/>
      <c r="E211" s="313"/>
      <c r="F211" s="313"/>
      <c r="G211" s="304"/>
      <c r="H211" s="294"/>
      <c r="I211" s="295"/>
    </row>
    <row r="212" spans="1:9" ht="12.75" customHeight="1">
      <c r="A212" s="304" t="s">
        <v>99</v>
      </c>
      <c r="B212" s="304"/>
      <c r="C212" s="304"/>
      <c r="D212" s="304"/>
      <c r="E212" s="304"/>
      <c r="F212" s="304"/>
      <c r="G212" s="304"/>
      <c r="H212" s="294"/>
      <c r="I212" s="295"/>
    </row>
    <row r="213" spans="1:9" ht="31.5">
      <c r="A213" s="251" t="s">
        <v>249</v>
      </c>
      <c r="B213" s="251"/>
      <c r="C213" s="251"/>
      <c r="D213" s="251"/>
      <c r="E213" s="251"/>
      <c r="F213" s="272" t="s">
        <v>342</v>
      </c>
      <c r="G213" s="272" t="s">
        <v>332</v>
      </c>
      <c r="H213" s="253" t="s">
        <v>251</v>
      </c>
      <c r="I213" s="295"/>
    </row>
    <row r="214" spans="1:9" ht="15.75">
      <c r="A214" s="306" t="s">
        <v>358</v>
      </c>
      <c r="B214" s="306"/>
      <c r="C214" s="306"/>
      <c r="D214" s="306"/>
      <c r="E214" s="306"/>
      <c r="F214" s="321">
        <f>1.2*1.1</f>
        <v>1.32</v>
      </c>
      <c r="G214" s="321">
        <v>6</v>
      </c>
      <c r="H214" s="322">
        <f aca="true" t="shared" si="7" ref="H214:H219">ROUND(F214*G214,2)</f>
        <v>7.92</v>
      </c>
      <c r="I214" s="295"/>
    </row>
    <row r="215" spans="1:9" ht="15.75">
      <c r="A215" s="306" t="s">
        <v>359</v>
      </c>
      <c r="B215" s="306"/>
      <c r="C215" s="306"/>
      <c r="D215" s="306"/>
      <c r="E215" s="306"/>
      <c r="F215" s="321">
        <f>2.68*1.1</f>
        <v>2.9480000000000004</v>
      </c>
      <c r="G215" s="321">
        <v>9</v>
      </c>
      <c r="H215" s="322">
        <f t="shared" si="7"/>
        <v>26.53</v>
      </c>
      <c r="I215" s="295"/>
    </row>
    <row r="216" spans="1:9" ht="15.75">
      <c r="A216" s="306" t="s">
        <v>360</v>
      </c>
      <c r="B216" s="306"/>
      <c r="C216" s="306"/>
      <c r="D216" s="306"/>
      <c r="E216" s="306"/>
      <c r="F216" s="321">
        <f>0.76*1.1</f>
        <v>0.8360000000000001</v>
      </c>
      <c r="G216" s="321">
        <v>9</v>
      </c>
      <c r="H216" s="322">
        <f t="shared" si="7"/>
        <v>7.52</v>
      </c>
      <c r="I216" s="295"/>
    </row>
    <row r="217" spans="1:9" ht="15.75">
      <c r="A217" s="306" t="s">
        <v>361</v>
      </c>
      <c r="B217" s="306"/>
      <c r="C217" s="306"/>
      <c r="D217" s="306"/>
      <c r="E217" s="306"/>
      <c r="F217" s="321">
        <f>2.4*1.1</f>
        <v>2.64</v>
      </c>
      <c r="G217" s="321">
        <v>6</v>
      </c>
      <c r="H217" s="322">
        <f t="shared" si="7"/>
        <v>15.84</v>
      </c>
      <c r="I217" s="295"/>
    </row>
    <row r="218" spans="1:9" ht="15.75">
      <c r="A218" s="306" t="s">
        <v>362</v>
      </c>
      <c r="B218" s="306"/>
      <c r="C218" s="306"/>
      <c r="D218" s="306"/>
      <c r="E218" s="306"/>
      <c r="F218" s="321">
        <f>1.27*1.1</f>
        <v>1.3970000000000002</v>
      </c>
      <c r="G218" s="321">
        <v>3</v>
      </c>
      <c r="H218" s="322">
        <f t="shared" si="7"/>
        <v>4.19</v>
      </c>
      <c r="I218" s="295"/>
    </row>
    <row r="219" spans="1:9" ht="15.75">
      <c r="A219" s="306" t="s">
        <v>363</v>
      </c>
      <c r="B219" s="306"/>
      <c r="C219" s="306"/>
      <c r="D219" s="306"/>
      <c r="E219" s="306"/>
      <c r="F219" s="321">
        <f>2*1.1</f>
        <v>2.2</v>
      </c>
      <c r="G219" s="321">
        <v>9</v>
      </c>
      <c r="H219" s="322">
        <f t="shared" si="7"/>
        <v>19.8</v>
      </c>
      <c r="I219" s="295"/>
    </row>
    <row r="220" spans="1:9" ht="15.75">
      <c r="A220" s="325"/>
      <c r="B220" s="325"/>
      <c r="C220" s="325"/>
      <c r="D220" s="325"/>
      <c r="E220" s="325"/>
      <c r="F220" s="326"/>
      <c r="G220" s="257" t="s">
        <v>6</v>
      </c>
      <c r="H220" s="327">
        <f>SUM(H214:H219)</f>
        <v>81.8</v>
      </c>
      <c r="I220" s="295"/>
    </row>
    <row r="221" spans="1:9" ht="15.75">
      <c r="A221" s="313"/>
      <c r="B221" s="313"/>
      <c r="C221" s="313"/>
      <c r="D221" s="313"/>
      <c r="E221" s="313"/>
      <c r="F221" s="313"/>
      <c r="G221" s="304"/>
      <c r="H221" s="294"/>
      <c r="I221" s="295"/>
    </row>
    <row r="222" spans="1:9" ht="12.75" customHeight="1">
      <c r="A222" s="304" t="s">
        <v>106</v>
      </c>
      <c r="B222" s="304"/>
      <c r="C222" s="304"/>
      <c r="D222" s="304"/>
      <c r="E222" s="304"/>
      <c r="F222" s="304"/>
      <c r="G222" s="304"/>
      <c r="H222" s="294"/>
      <c r="I222" s="295"/>
    </row>
    <row r="223" spans="1:9" ht="15.75">
      <c r="A223" s="288" t="s">
        <v>249</v>
      </c>
      <c r="B223" s="289"/>
      <c r="C223" s="323"/>
      <c r="D223" s="324" t="s">
        <v>255</v>
      </c>
      <c r="E223" s="324" t="s">
        <v>261</v>
      </c>
      <c r="F223" s="324" t="s">
        <v>262</v>
      </c>
      <c r="G223" s="272" t="s">
        <v>263</v>
      </c>
      <c r="H223" s="253" t="s">
        <v>251</v>
      </c>
      <c r="I223" s="295"/>
    </row>
    <row r="224" spans="1:9" ht="23.25" customHeight="1">
      <c r="A224" s="328" t="s">
        <v>108</v>
      </c>
      <c r="B224" s="329"/>
      <c r="C224" s="330"/>
      <c r="D224" s="322">
        <v>1</v>
      </c>
      <c r="E224" s="322"/>
      <c r="F224" s="322"/>
      <c r="G224" s="322"/>
      <c r="H224" s="322">
        <f>SUM(D224:G224)</f>
        <v>1</v>
      </c>
      <c r="I224" s="295"/>
    </row>
    <row r="225" spans="1:9" ht="15.75">
      <c r="A225" s="308" t="s">
        <v>111</v>
      </c>
      <c r="B225" s="309"/>
      <c r="C225" s="310"/>
      <c r="D225" s="322">
        <v>2</v>
      </c>
      <c r="E225" s="322"/>
      <c r="F225" s="322"/>
      <c r="G225" s="322"/>
      <c r="H225" s="322">
        <f>SUM(D225:G225)</f>
        <v>2</v>
      </c>
      <c r="I225" s="295"/>
    </row>
    <row r="226" spans="1:9" ht="15.75">
      <c r="A226" s="308" t="s">
        <v>113</v>
      </c>
      <c r="B226" s="309"/>
      <c r="C226" s="310"/>
      <c r="D226" s="322"/>
      <c r="E226" s="322">
        <v>1</v>
      </c>
      <c r="F226" s="322"/>
      <c r="G226" s="322"/>
      <c r="H226" s="322">
        <f>SUM(D226:G226)</f>
        <v>1</v>
      </c>
      <c r="I226" s="295"/>
    </row>
    <row r="227" spans="1:9" ht="15.75">
      <c r="A227" s="308" t="s">
        <v>115</v>
      </c>
      <c r="B227" s="309"/>
      <c r="C227" s="310"/>
      <c r="D227" s="322"/>
      <c r="E227" s="322">
        <v>1</v>
      </c>
      <c r="F227" s="322"/>
      <c r="G227" s="322"/>
      <c r="H227" s="322">
        <f>SUM(D227:G227)</f>
        <v>1</v>
      </c>
      <c r="I227" s="295"/>
    </row>
    <row r="228" spans="1:9" ht="15.75">
      <c r="A228" s="308" t="s">
        <v>117</v>
      </c>
      <c r="B228" s="309"/>
      <c r="C228" s="310"/>
      <c r="D228" s="322"/>
      <c r="E228" s="322"/>
      <c r="F228" s="322">
        <v>3</v>
      </c>
      <c r="G228" s="322"/>
      <c r="H228" s="322">
        <f>SUM(D228:G228)</f>
        <v>3</v>
      </c>
      <c r="I228" s="295"/>
    </row>
    <row r="229" spans="1:9" ht="15.75">
      <c r="A229" s="313"/>
      <c r="B229" s="313"/>
      <c r="C229" s="313"/>
      <c r="D229" s="313"/>
      <c r="E229" s="313"/>
      <c r="F229" s="313"/>
      <c r="G229" s="304"/>
      <c r="H229" s="294"/>
      <c r="I229" s="295"/>
    </row>
    <row r="230" spans="1:9" ht="15.75">
      <c r="A230" s="304" t="s">
        <v>118</v>
      </c>
      <c r="B230" s="304"/>
      <c r="C230" s="304"/>
      <c r="D230" s="304"/>
      <c r="E230" s="304"/>
      <c r="F230" s="304"/>
      <c r="G230" s="304"/>
      <c r="H230" s="294"/>
      <c r="I230" s="295"/>
    </row>
    <row r="231" spans="1:9" ht="15.75">
      <c r="A231" s="272" t="s">
        <v>249</v>
      </c>
      <c r="B231" s="290"/>
      <c r="C231" s="290"/>
      <c r="D231" s="324" t="s">
        <v>255</v>
      </c>
      <c r="E231" s="324" t="s">
        <v>261</v>
      </c>
      <c r="F231" s="324" t="s">
        <v>262</v>
      </c>
      <c r="G231" s="272" t="s">
        <v>263</v>
      </c>
      <c r="H231" s="253" t="s">
        <v>251</v>
      </c>
      <c r="I231" s="295"/>
    </row>
    <row r="232" spans="1:9" ht="31.5">
      <c r="A232" s="290" t="s">
        <v>364</v>
      </c>
      <c r="B232" s="290"/>
      <c r="C232" s="290"/>
      <c r="D232" s="322">
        <v>2</v>
      </c>
      <c r="E232" s="322"/>
      <c r="F232" s="322"/>
      <c r="G232" s="322"/>
      <c r="H232" s="322">
        <f aca="true" t="shared" si="8" ref="H232:H237">SUM(D232:G232)</f>
        <v>2</v>
      </c>
      <c r="I232" s="295"/>
    </row>
    <row r="233" spans="1:9" ht="15.75">
      <c r="A233" s="290" t="s">
        <v>365</v>
      </c>
      <c r="B233" s="290"/>
      <c r="C233" s="290"/>
      <c r="D233" s="322">
        <v>1</v>
      </c>
      <c r="E233" s="322"/>
      <c r="F233" s="322"/>
      <c r="G233" s="322"/>
      <c r="H233" s="322">
        <f t="shared" si="8"/>
        <v>1</v>
      </c>
      <c r="I233" s="295"/>
    </row>
    <row r="234" spans="1:9" ht="31.5">
      <c r="A234" s="290" t="s">
        <v>366</v>
      </c>
      <c r="B234" s="290"/>
      <c r="C234" s="290"/>
      <c r="D234" s="322">
        <v>10</v>
      </c>
      <c r="E234" s="322"/>
      <c r="F234" s="322"/>
      <c r="G234" s="322">
        <v>5</v>
      </c>
      <c r="H234" s="322">
        <f t="shared" si="8"/>
        <v>15</v>
      </c>
      <c r="I234" s="295"/>
    </row>
    <row r="235" spans="1:9" ht="31.5">
      <c r="A235" s="290" t="s">
        <v>367</v>
      </c>
      <c r="B235" s="290"/>
      <c r="C235" s="290"/>
      <c r="D235" s="322">
        <v>20</v>
      </c>
      <c r="E235" s="322">
        <v>4</v>
      </c>
      <c r="F235" s="322">
        <v>13</v>
      </c>
      <c r="G235" s="322">
        <v>19</v>
      </c>
      <c r="H235" s="322">
        <f t="shared" si="8"/>
        <v>56</v>
      </c>
      <c r="I235" s="295"/>
    </row>
    <row r="236" spans="1:9" ht="31.5">
      <c r="A236" s="290" t="s">
        <v>368</v>
      </c>
      <c r="B236" s="290"/>
      <c r="C236" s="290"/>
      <c r="D236" s="322">
        <v>1</v>
      </c>
      <c r="E236" s="322">
        <v>2</v>
      </c>
      <c r="F236" s="322">
        <v>4</v>
      </c>
      <c r="G236" s="322">
        <v>2</v>
      </c>
      <c r="H236" s="322">
        <f t="shared" si="8"/>
        <v>9</v>
      </c>
      <c r="I236" s="295"/>
    </row>
    <row r="237" spans="1:9" ht="31.5">
      <c r="A237" s="290" t="s">
        <v>369</v>
      </c>
      <c r="B237" s="290"/>
      <c r="C237" s="290"/>
      <c r="D237" s="322">
        <v>1</v>
      </c>
      <c r="E237" s="322"/>
      <c r="F237" s="322"/>
      <c r="G237" s="322"/>
      <c r="H237" s="322">
        <f t="shared" si="8"/>
        <v>1</v>
      </c>
      <c r="I237" s="295"/>
    </row>
    <row r="238" spans="1:9" ht="15.75">
      <c r="A238" s="313"/>
      <c r="B238" s="313"/>
      <c r="C238" s="313"/>
      <c r="D238" s="313"/>
      <c r="E238" s="313"/>
      <c r="F238" s="313"/>
      <c r="G238" s="304"/>
      <c r="H238" s="294"/>
      <c r="I238" s="295"/>
    </row>
    <row r="239" spans="1:9" ht="12.75" customHeight="1">
      <c r="A239" s="304" t="s">
        <v>127</v>
      </c>
      <c r="B239" s="304" t="s">
        <v>127</v>
      </c>
      <c r="C239" s="304"/>
      <c r="D239" s="304"/>
      <c r="E239" s="304"/>
      <c r="F239" s="304"/>
      <c r="G239" s="304"/>
      <c r="H239" s="294"/>
      <c r="I239" s="295"/>
    </row>
    <row r="240" spans="1:9" ht="15.75">
      <c r="A240" s="251" t="s">
        <v>129</v>
      </c>
      <c r="B240" s="251"/>
      <c r="C240" s="251"/>
      <c r="D240" s="251"/>
      <c r="E240" s="251"/>
      <c r="F240" s="272"/>
      <c r="G240" s="272"/>
      <c r="H240" s="253"/>
      <c r="I240" s="295"/>
    </row>
    <row r="241" spans="1:9" ht="31.5">
      <c r="A241" s="251" t="s">
        <v>249</v>
      </c>
      <c r="B241" s="251"/>
      <c r="C241" s="251"/>
      <c r="D241" s="251"/>
      <c r="E241" s="251"/>
      <c r="F241" s="272" t="s">
        <v>342</v>
      </c>
      <c r="G241" s="272" t="s">
        <v>332</v>
      </c>
      <c r="H241" s="253" t="s">
        <v>251</v>
      </c>
      <c r="I241" s="295"/>
    </row>
    <row r="242" spans="1:9" ht="15.75">
      <c r="A242" s="306" t="s">
        <v>370</v>
      </c>
      <c r="B242" s="306"/>
      <c r="C242" s="306"/>
      <c r="D242" s="306"/>
      <c r="E242" s="306"/>
      <c r="F242" s="321">
        <f>0.125*0.41</f>
        <v>0.05125</v>
      </c>
      <c r="G242" s="321">
        <v>3</v>
      </c>
      <c r="H242" s="322">
        <f>ROUND(F242*G242,2)</f>
        <v>0.15</v>
      </c>
      <c r="I242" s="295"/>
    </row>
    <row r="243" spans="1:9" ht="15.75">
      <c r="A243" s="331"/>
      <c r="B243" s="331"/>
      <c r="C243" s="331"/>
      <c r="D243" s="331"/>
      <c r="E243" s="331"/>
      <c r="F243" s="332"/>
      <c r="G243" s="257" t="s">
        <v>6</v>
      </c>
      <c r="H243" s="327">
        <f>SUM(H242:H242)</f>
        <v>0.15</v>
      </c>
      <c r="I243" s="295"/>
    </row>
    <row r="244" spans="1:9" ht="15.75">
      <c r="A244" s="251" t="s">
        <v>133</v>
      </c>
      <c r="B244" s="251"/>
      <c r="C244" s="251"/>
      <c r="D244" s="251"/>
      <c r="E244" s="251"/>
      <c r="F244" s="272"/>
      <c r="G244" s="272"/>
      <c r="H244" s="253"/>
      <c r="I244" s="295"/>
    </row>
    <row r="245" spans="1:9" ht="15.75">
      <c r="A245" s="272" t="s">
        <v>249</v>
      </c>
      <c r="B245" s="290"/>
      <c r="C245" s="290"/>
      <c r="D245" s="272"/>
      <c r="E245" s="333"/>
      <c r="F245" s="324" t="s">
        <v>330</v>
      </c>
      <c r="G245" s="272" t="s">
        <v>371</v>
      </c>
      <c r="H245" s="253" t="s">
        <v>251</v>
      </c>
      <c r="I245" s="295"/>
    </row>
    <row r="246" spans="1:9" ht="31.5">
      <c r="A246" s="290" t="s">
        <v>372</v>
      </c>
      <c r="B246" s="290"/>
      <c r="C246" s="290"/>
      <c r="D246" s="290"/>
      <c r="E246" s="321"/>
      <c r="F246" s="321">
        <v>1.9</v>
      </c>
      <c r="G246" s="321">
        <v>0.85</v>
      </c>
      <c r="H246" s="322">
        <f>ROUND(F246*G246,2)</f>
        <v>1.62</v>
      </c>
      <c r="I246" s="295"/>
    </row>
    <row r="247" spans="1:9" ht="15.75">
      <c r="A247" s="331"/>
      <c r="B247" s="331"/>
      <c r="C247" s="331"/>
      <c r="D247" s="331"/>
      <c r="E247" s="331"/>
      <c r="F247" s="332"/>
      <c r="G247" s="257" t="s">
        <v>6</v>
      </c>
      <c r="H247" s="327">
        <f>SUM(H246:H246)</f>
        <v>1.62</v>
      </c>
      <c r="I247" s="295"/>
    </row>
    <row r="248" spans="1:9" ht="15.75">
      <c r="A248" s="313"/>
      <c r="B248" s="313"/>
      <c r="C248" s="313"/>
      <c r="D248" s="313"/>
      <c r="E248" s="313"/>
      <c r="F248" s="313"/>
      <c r="G248" s="304"/>
      <c r="H248" s="294"/>
      <c r="I248" s="295"/>
    </row>
    <row r="249" spans="1:9" ht="15.75">
      <c r="A249" s="251" t="s">
        <v>373</v>
      </c>
      <c r="B249" s="251"/>
      <c r="C249" s="251"/>
      <c r="D249" s="251"/>
      <c r="E249" s="251"/>
      <c r="F249" s="272"/>
      <c r="G249" s="272"/>
      <c r="H249" s="253"/>
      <c r="I249" s="295"/>
    </row>
    <row r="250" spans="1:9" ht="31.5">
      <c r="A250" s="272" t="s">
        <v>249</v>
      </c>
      <c r="D250" s="272"/>
      <c r="E250" s="333"/>
      <c r="F250" s="290" t="s">
        <v>374</v>
      </c>
      <c r="G250" s="290" t="s">
        <v>375</v>
      </c>
      <c r="H250" s="253" t="s">
        <v>251</v>
      </c>
      <c r="I250" s="295"/>
    </row>
    <row r="251" spans="1:9" ht="31.5">
      <c r="A251" s="290" t="s">
        <v>376</v>
      </c>
      <c r="B251" s="290"/>
      <c r="C251" s="290"/>
      <c r="D251" s="290"/>
      <c r="E251" s="321"/>
      <c r="F251" s="334">
        <v>2</v>
      </c>
      <c r="G251" s="321">
        <v>6</v>
      </c>
      <c r="H251" s="322">
        <f>ROUND(F251*G251,2)</f>
        <v>12</v>
      </c>
      <c r="I251" s="295"/>
    </row>
    <row r="252" spans="1:9" ht="15.75">
      <c r="A252" s="335" t="s">
        <v>377</v>
      </c>
      <c r="B252" s="335"/>
      <c r="C252" s="335"/>
      <c r="D252" s="335"/>
      <c r="E252" s="336"/>
      <c r="F252" s="334">
        <v>3</v>
      </c>
      <c r="G252" s="321">
        <v>21</v>
      </c>
      <c r="H252" s="322">
        <f>ROUND(F252*G252,2)</f>
        <v>63</v>
      </c>
      <c r="I252" s="295"/>
    </row>
    <row r="253" spans="1:9" ht="15.75">
      <c r="A253" s="335" t="s">
        <v>378</v>
      </c>
      <c r="B253" s="335"/>
      <c r="C253" s="335"/>
      <c r="D253" s="335"/>
      <c r="E253" s="336"/>
      <c r="F253" s="334">
        <v>8</v>
      </c>
      <c r="G253" s="321">
        <v>21</v>
      </c>
      <c r="H253" s="322">
        <f>ROUND(F253*G253,2)</f>
        <v>168</v>
      </c>
      <c r="I253" s="295"/>
    </row>
    <row r="254" spans="1:9" ht="15.75">
      <c r="A254" s="331"/>
      <c r="B254" s="331"/>
      <c r="C254" s="331"/>
      <c r="D254" s="331"/>
      <c r="E254" s="331"/>
      <c r="F254" s="332"/>
      <c r="G254" s="257" t="s">
        <v>6</v>
      </c>
      <c r="H254" s="327">
        <f>SUM(H251:H251)</f>
        <v>12</v>
      </c>
      <c r="I254" s="295"/>
    </row>
    <row r="255" spans="1:9" ht="15.75">
      <c r="A255" s="313"/>
      <c r="B255" s="313"/>
      <c r="C255" s="313"/>
      <c r="D255" s="313"/>
      <c r="E255" s="313"/>
      <c r="F255" s="313"/>
      <c r="G255" s="304"/>
      <c r="H255" s="294"/>
      <c r="I255" s="295"/>
    </row>
    <row r="256" spans="1:9" ht="15.75">
      <c r="A256" s="313"/>
      <c r="B256" s="313"/>
      <c r="C256" s="313"/>
      <c r="D256" s="313"/>
      <c r="E256" s="313"/>
      <c r="F256" s="313"/>
      <c r="G256" s="304"/>
      <c r="H256" s="294"/>
      <c r="I256" s="295"/>
    </row>
    <row r="257" spans="1:9" ht="15.75">
      <c r="A257" s="313"/>
      <c r="B257" s="313"/>
      <c r="C257" s="313"/>
      <c r="D257" s="313"/>
      <c r="E257" s="313"/>
      <c r="F257" s="313"/>
      <c r="G257" s="304"/>
      <c r="H257" s="294"/>
      <c r="I257" s="295"/>
    </row>
    <row r="258" spans="1:9" ht="15.75">
      <c r="A258" s="313"/>
      <c r="B258" s="313"/>
      <c r="C258" s="313"/>
      <c r="D258" s="313"/>
      <c r="E258" s="313"/>
      <c r="F258" s="313"/>
      <c r="G258" s="304"/>
      <c r="H258" s="294"/>
      <c r="I258" s="295"/>
    </row>
    <row r="259" spans="1:9" ht="15.75">
      <c r="A259" s="313"/>
      <c r="B259" s="313"/>
      <c r="C259" s="313"/>
      <c r="D259" s="313"/>
      <c r="E259" s="313"/>
      <c r="F259" s="313"/>
      <c r="G259" s="304"/>
      <c r="H259" s="294"/>
      <c r="I259" s="295"/>
    </row>
    <row r="260" spans="1:9" ht="15.75">
      <c r="A260" s="313"/>
      <c r="B260" s="313"/>
      <c r="C260" s="313"/>
      <c r="D260" s="313"/>
      <c r="E260" s="313"/>
      <c r="F260" s="313"/>
      <c r="G260" s="304"/>
      <c r="H260" s="294"/>
      <c r="I260" s="295"/>
    </row>
    <row r="261" spans="1:8" ht="15.75">
      <c r="A261" s="244" t="s">
        <v>145</v>
      </c>
      <c r="B261" s="244"/>
      <c r="C261" s="244"/>
      <c r="D261" s="244"/>
      <c r="E261" s="244"/>
      <c r="F261" s="244"/>
      <c r="G261" s="244"/>
      <c r="H261" s="244"/>
    </row>
    <row r="262" spans="1:8" ht="15.75">
      <c r="A262" s="313"/>
      <c r="B262" s="313"/>
      <c r="C262" s="313"/>
      <c r="D262" s="313"/>
      <c r="E262" s="313"/>
      <c r="F262" s="313"/>
      <c r="G262" s="304"/>
      <c r="H262" s="294"/>
    </row>
    <row r="263" spans="1:8" ht="12.75" customHeight="1">
      <c r="A263" s="304" t="s">
        <v>379</v>
      </c>
      <c r="B263" s="304"/>
      <c r="C263" s="304"/>
      <c r="D263" s="304"/>
      <c r="E263" s="304"/>
      <c r="F263" s="304"/>
      <c r="G263" s="304"/>
      <c r="H263" s="294"/>
    </row>
    <row r="264" spans="1:8" ht="15.75">
      <c r="A264" s="337" t="s">
        <v>249</v>
      </c>
      <c r="B264" s="338"/>
      <c r="C264" s="338"/>
      <c r="D264" s="338"/>
      <c r="E264" s="339"/>
      <c r="F264" s="340" t="s">
        <v>352</v>
      </c>
      <c r="G264" s="340" t="s">
        <v>330</v>
      </c>
      <c r="H264" s="341" t="s">
        <v>251</v>
      </c>
    </row>
    <row r="265" spans="1:8" ht="15.75">
      <c r="A265" s="254" t="s">
        <v>380</v>
      </c>
      <c r="B265" s="254"/>
      <c r="C265" s="254"/>
      <c r="D265" s="254"/>
      <c r="E265" s="254"/>
      <c r="F265" s="255">
        <v>87.2</v>
      </c>
      <c r="G265" s="255">
        <v>1</v>
      </c>
      <c r="H265" s="342">
        <f>F265*G265</f>
        <v>87.2</v>
      </c>
    </row>
    <row r="266" spans="1:8" ht="15.75">
      <c r="A266" s="331"/>
      <c r="B266" s="331"/>
      <c r="C266" s="331"/>
      <c r="D266" s="331"/>
      <c r="E266" s="331"/>
      <c r="F266" s="332"/>
      <c r="G266" s="257" t="s">
        <v>6</v>
      </c>
      <c r="H266" s="343">
        <f>SUM(H265:H265)</f>
        <v>87.2</v>
      </c>
    </row>
    <row r="267" spans="1:7" ht="15.75">
      <c r="A267" s="188"/>
      <c r="B267" s="188"/>
      <c r="C267" s="188"/>
      <c r="D267" s="188"/>
      <c r="E267" s="188"/>
      <c r="F267" s="188"/>
      <c r="G267" s="188"/>
    </row>
    <row r="268" spans="1:8" ht="15.75">
      <c r="A268" s="344" t="s">
        <v>381</v>
      </c>
      <c r="B268" s="344"/>
      <c r="C268" s="344"/>
      <c r="D268" s="344"/>
      <c r="E268" s="344"/>
      <c r="F268" s="344"/>
      <c r="G268" s="344"/>
      <c r="H268" s="345"/>
    </row>
    <row r="269" spans="1:8" ht="14.25" customHeight="1">
      <c r="A269" s="346" t="s">
        <v>249</v>
      </c>
      <c r="B269" s="346"/>
      <c r="C269" s="346"/>
      <c r="D269" s="347" t="s">
        <v>267</v>
      </c>
      <c r="E269" s="347" t="s">
        <v>268</v>
      </c>
      <c r="F269" s="347" t="s">
        <v>269</v>
      </c>
      <c r="G269" s="347"/>
      <c r="H269" s="348" t="s">
        <v>251</v>
      </c>
    </row>
    <row r="270" spans="1:8" ht="15.75">
      <c r="A270" s="346"/>
      <c r="B270" s="346"/>
      <c r="C270" s="346"/>
      <c r="D270" s="347"/>
      <c r="E270" s="347"/>
      <c r="F270" s="349" t="s">
        <v>382</v>
      </c>
      <c r="G270" s="349" t="s">
        <v>383</v>
      </c>
      <c r="H270" s="348"/>
    </row>
    <row r="271" spans="1:8" ht="15.75">
      <c r="A271" s="350" t="s">
        <v>384</v>
      </c>
      <c r="B271" s="350"/>
      <c r="C271" s="350"/>
      <c r="D271" s="351">
        <v>10</v>
      </c>
      <c r="E271" s="352">
        <v>1</v>
      </c>
      <c r="F271" s="352">
        <f>1*2</f>
        <v>2</v>
      </c>
      <c r="G271" s="352"/>
      <c r="H271" s="353">
        <f>ROUND(D271*E271-F271-G271,2)</f>
        <v>8</v>
      </c>
    </row>
    <row r="272" spans="1:8" ht="15.75">
      <c r="A272" s="350" t="s">
        <v>385</v>
      </c>
      <c r="B272" s="350"/>
      <c r="C272" s="350"/>
      <c r="D272" s="351">
        <v>20.42</v>
      </c>
      <c r="E272" s="352">
        <v>1</v>
      </c>
      <c r="F272" s="352">
        <f>0.9*1</f>
        <v>0.9</v>
      </c>
      <c r="G272" s="352">
        <f>2*1*1+4*1*0.15</f>
        <v>2.6</v>
      </c>
      <c r="H272" s="353">
        <f>ROUND(D272*E272-F272-G272,2)</f>
        <v>16.92</v>
      </c>
    </row>
    <row r="273" spans="1:8" ht="15.75">
      <c r="A273" s="350" t="s">
        <v>386</v>
      </c>
      <c r="B273" s="350"/>
      <c r="C273" s="350"/>
      <c r="D273" s="351">
        <v>8.3</v>
      </c>
      <c r="E273" s="352">
        <v>1</v>
      </c>
      <c r="F273" s="352"/>
      <c r="G273" s="352">
        <f>1.5*1</f>
        <v>1.5</v>
      </c>
      <c r="H273" s="353">
        <f>ROUND(D273*E273-F273-G273,2)</f>
        <v>6.8</v>
      </c>
    </row>
    <row r="274" spans="1:8" ht="15.75">
      <c r="A274" s="350" t="s">
        <v>387</v>
      </c>
      <c r="B274" s="350"/>
      <c r="C274" s="350"/>
      <c r="D274" s="351">
        <v>22.75</v>
      </c>
      <c r="E274" s="352">
        <v>1</v>
      </c>
      <c r="F274" s="352">
        <f>1.7*1</f>
        <v>1.7</v>
      </c>
      <c r="G274" s="352">
        <f>5*2*1</f>
        <v>10</v>
      </c>
      <c r="H274" s="353">
        <f>ROUND(D274*E274-F274-G274,2)</f>
        <v>11.05</v>
      </c>
    </row>
    <row r="275" spans="1:8" ht="15.75">
      <c r="A275" s="331"/>
      <c r="B275" s="331"/>
      <c r="C275" s="331"/>
      <c r="D275" s="331"/>
      <c r="E275" s="331"/>
      <c r="F275" s="332"/>
      <c r="G275" s="354" t="s">
        <v>6</v>
      </c>
      <c r="H275" s="355">
        <f>SUM(H271:H274)</f>
        <v>42.77</v>
      </c>
    </row>
    <row r="276" spans="1:7" ht="15.75">
      <c r="A276" s="188"/>
      <c r="B276" s="188"/>
      <c r="C276" s="188"/>
      <c r="D276" s="188"/>
      <c r="E276" s="188"/>
      <c r="F276" s="188"/>
      <c r="G276" s="188"/>
    </row>
    <row r="277" spans="1:8" ht="15.75">
      <c r="A277" s="304" t="s">
        <v>38</v>
      </c>
      <c r="B277" s="304"/>
      <c r="C277" s="304"/>
      <c r="D277" s="304"/>
      <c r="E277" s="304"/>
      <c r="F277" s="304"/>
      <c r="G277" s="304"/>
      <c r="H277" s="294"/>
    </row>
    <row r="278" spans="1:8" ht="15.75">
      <c r="A278" s="356"/>
      <c r="B278" s="357"/>
      <c r="C278" s="357"/>
      <c r="D278" s="357"/>
      <c r="E278" s="357"/>
      <c r="F278" s="357"/>
      <c r="G278" s="357"/>
      <c r="H278" s="358"/>
    </row>
    <row r="279" spans="1:8" s="186" customFormat="1" ht="15.75">
      <c r="A279" s="344" t="s">
        <v>158</v>
      </c>
      <c r="B279" s="344"/>
      <c r="C279" s="344"/>
      <c r="D279" s="344"/>
      <c r="E279" s="344"/>
      <c r="F279" s="344"/>
      <c r="G279" s="344"/>
      <c r="H279" s="345"/>
    </row>
    <row r="280" spans="1:8" s="186" customFormat="1" ht="21" customHeight="1">
      <c r="A280" s="346" t="s">
        <v>249</v>
      </c>
      <c r="B280" s="346"/>
      <c r="C280" s="347" t="s">
        <v>267</v>
      </c>
      <c r="D280" s="347" t="s">
        <v>268</v>
      </c>
      <c r="E280" s="359" t="s">
        <v>269</v>
      </c>
      <c r="F280" s="359"/>
      <c r="G280" s="347" t="s">
        <v>270</v>
      </c>
      <c r="H280" s="348" t="s">
        <v>251</v>
      </c>
    </row>
    <row r="281" spans="1:8" s="186" customFormat="1" ht="31.5">
      <c r="A281" s="360" t="s">
        <v>388</v>
      </c>
      <c r="B281" s="360"/>
      <c r="C281" s="347"/>
      <c r="D281" s="347"/>
      <c r="E281" s="349" t="s">
        <v>274</v>
      </c>
      <c r="F281" s="349" t="s">
        <v>389</v>
      </c>
      <c r="G281" s="347"/>
      <c r="H281" s="348"/>
    </row>
    <row r="282" spans="1:8" s="186" customFormat="1" ht="15.75">
      <c r="A282" s="350" t="s">
        <v>275</v>
      </c>
      <c r="B282" s="350"/>
      <c r="C282" s="351">
        <v>10</v>
      </c>
      <c r="D282" s="352">
        <v>3.5</v>
      </c>
      <c r="E282" s="352">
        <f>2.1*2</f>
        <v>4.2</v>
      </c>
      <c r="F282" s="352">
        <v>1</v>
      </c>
      <c r="G282" s="351">
        <v>1</v>
      </c>
      <c r="H282" s="353">
        <f>ROUND(C282*D282-E282-F282*C282,2)*G282</f>
        <v>20.8</v>
      </c>
    </row>
    <row r="283" spans="1:8" s="186" customFormat="1" ht="15.75">
      <c r="A283" s="350" t="s">
        <v>276</v>
      </c>
      <c r="B283" s="350"/>
      <c r="C283" s="351">
        <v>20.28</v>
      </c>
      <c r="D283" s="352">
        <v>3.5</v>
      </c>
      <c r="E283" s="352">
        <v>8.68</v>
      </c>
      <c r="F283" s="352">
        <v>1</v>
      </c>
      <c r="G283" s="351">
        <v>1</v>
      </c>
      <c r="H283" s="353">
        <f>ROUND(C283*D283-E283-F283*C283,2)*G283</f>
        <v>42.02</v>
      </c>
    </row>
    <row r="284" spans="1:8" s="186" customFormat="1" ht="15.75">
      <c r="A284" s="350" t="s">
        <v>277</v>
      </c>
      <c r="B284" s="350"/>
      <c r="C284" s="351">
        <v>8.28</v>
      </c>
      <c r="D284" s="352">
        <v>3.5</v>
      </c>
      <c r="E284" s="352">
        <f>1.5*1.15</f>
        <v>1.7249999999999999</v>
      </c>
      <c r="F284" s="352">
        <v>1</v>
      </c>
      <c r="G284" s="351">
        <v>1</v>
      </c>
      <c r="H284" s="353">
        <f>ROUND(C284*D284-E284-F284*C284,2)*G284</f>
        <v>18.98</v>
      </c>
    </row>
    <row r="285" spans="1:8" s="186" customFormat="1" ht="15.75">
      <c r="A285" s="350" t="s">
        <v>278</v>
      </c>
      <c r="B285" s="350"/>
      <c r="C285" s="351">
        <v>22.45</v>
      </c>
      <c r="D285" s="352">
        <v>3.5</v>
      </c>
      <c r="E285" s="352">
        <f>5*2*1.15+1*0.3+1.6*2.1+1.5*1.15</f>
        <v>16.885</v>
      </c>
      <c r="F285" s="352">
        <v>1</v>
      </c>
      <c r="G285" s="351">
        <v>1</v>
      </c>
      <c r="H285" s="353">
        <f>ROUND(C285*D285-E285-F285*C285,2)*G285</f>
        <v>39.24</v>
      </c>
    </row>
    <row r="286" spans="1:8" s="186" customFormat="1" ht="15.75">
      <c r="A286" s="360" t="s">
        <v>272</v>
      </c>
      <c r="B286" s="360"/>
      <c r="C286" s="351"/>
      <c r="D286" s="352"/>
      <c r="E286" s="352"/>
      <c r="F286" s="352"/>
      <c r="G286" s="351"/>
      <c r="H286" s="353"/>
    </row>
    <row r="287" spans="1:8" s="186" customFormat="1" ht="15.75">
      <c r="A287" s="350" t="s">
        <v>275</v>
      </c>
      <c r="B287" s="350"/>
      <c r="C287" s="351">
        <f>5.55+4</f>
        <v>9.55</v>
      </c>
      <c r="D287" s="352">
        <v>3.15</v>
      </c>
      <c r="E287" s="352">
        <f>2.1*2</f>
        <v>4.2</v>
      </c>
      <c r="F287" s="352">
        <v>7.2</v>
      </c>
      <c r="G287" s="351">
        <v>1</v>
      </c>
      <c r="H287" s="353">
        <f>ROUND(C287*D287-E287-F287,2)*G287</f>
        <v>18.68</v>
      </c>
    </row>
    <row r="288" spans="1:8" s="186" customFormat="1" ht="15.75">
      <c r="A288" s="350" t="s">
        <v>276</v>
      </c>
      <c r="B288" s="350"/>
      <c r="C288" s="351">
        <f>1.8+1.55+1.8+3.5+1.3+2.75+1.725+1.725+1.4+1.23</f>
        <v>18.78</v>
      </c>
      <c r="D288" s="352">
        <v>3.15</v>
      </c>
      <c r="E288" s="352">
        <v>8.68</v>
      </c>
      <c r="F288" s="352">
        <v>11.61</v>
      </c>
      <c r="G288" s="351">
        <v>1</v>
      </c>
      <c r="H288" s="353">
        <f>ROUND(C288*D288-E288-F288,2)*G288</f>
        <v>38.87</v>
      </c>
    </row>
    <row r="289" spans="1:8" s="186" customFormat="1" ht="15.75">
      <c r="A289" s="350" t="s">
        <v>277</v>
      </c>
      <c r="B289" s="350"/>
      <c r="C289" s="351">
        <f>3.825+4</f>
        <v>7.825</v>
      </c>
      <c r="D289" s="352">
        <v>3.15</v>
      </c>
      <c r="E289" s="352">
        <f>1.5*1.15</f>
        <v>1.7249999999999999</v>
      </c>
      <c r="F289" s="352">
        <f>3.825*1.8</f>
        <v>6.885000000000001</v>
      </c>
      <c r="G289" s="351">
        <v>1</v>
      </c>
      <c r="H289" s="353">
        <f>ROUND(C289*D289-E289-F289,2)</f>
        <v>16.04</v>
      </c>
    </row>
    <row r="290" spans="1:8" s="186" customFormat="1" ht="15.75">
      <c r="A290" s="350" t="s">
        <v>278</v>
      </c>
      <c r="B290" s="350"/>
      <c r="C290" s="351">
        <f>6.3+3.5+1.3+2.74+8</f>
        <v>21.840000000000003</v>
      </c>
      <c r="D290" s="352">
        <v>3.15</v>
      </c>
      <c r="E290" s="352">
        <f>2*1.15*5+1.5*1.15+1*0.3+1.6*2.1</f>
        <v>16.885</v>
      </c>
      <c r="F290" s="352">
        <f>1.8*1.3</f>
        <v>2.3400000000000003</v>
      </c>
      <c r="G290" s="351">
        <v>1</v>
      </c>
      <c r="H290" s="353">
        <f>ROUND(C290*D290-E290-F290,2)</f>
        <v>49.57</v>
      </c>
    </row>
    <row r="291" spans="1:8" s="186" customFormat="1" ht="15.75">
      <c r="A291" s="350" t="s">
        <v>279</v>
      </c>
      <c r="B291" s="350"/>
      <c r="C291" s="351">
        <v>2.175</v>
      </c>
      <c r="D291" s="352">
        <v>3.15</v>
      </c>
      <c r="E291" s="352">
        <v>0</v>
      </c>
      <c r="F291" s="352">
        <f>2.175*1.8</f>
        <v>3.9149999999999996</v>
      </c>
      <c r="G291" s="351">
        <v>2</v>
      </c>
      <c r="H291" s="353">
        <f aca="true" t="shared" si="9" ref="H291:H297">ROUND(C291*D291-E291,2)*G291-F291</f>
        <v>9.785</v>
      </c>
    </row>
    <row r="292" spans="1:8" s="186" customFormat="1" ht="15.75">
      <c r="A292" s="350" t="s">
        <v>280</v>
      </c>
      <c r="B292" s="350"/>
      <c r="C292" s="351">
        <v>5.55</v>
      </c>
      <c r="D292" s="352">
        <v>3.15</v>
      </c>
      <c r="E292" s="352">
        <v>3.36</v>
      </c>
      <c r="F292" s="352">
        <f>3.82*1.8-0.8*1.8</f>
        <v>5.435999999999999</v>
      </c>
      <c r="G292" s="351">
        <v>2</v>
      </c>
      <c r="H292" s="353">
        <v>22.804</v>
      </c>
    </row>
    <row r="293" spans="1:8" s="186" customFormat="1" ht="15.75">
      <c r="A293" s="350" t="s">
        <v>281</v>
      </c>
      <c r="B293" s="350"/>
      <c r="C293" s="351">
        <v>16.85</v>
      </c>
      <c r="D293" s="352">
        <v>3.15</v>
      </c>
      <c r="E293" s="352">
        <v>5.04</v>
      </c>
      <c r="F293" s="352">
        <v>3.915</v>
      </c>
      <c r="G293" s="351">
        <v>2</v>
      </c>
      <c r="H293" s="353">
        <v>92.165</v>
      </c>
    </row>
    <row r="294" spans="1:8" s="186" customFormat="1" ht="15.75">
      <c r="A294" s="350" t="s">
        <v>282</v>
      </c>
      <c r="B294" s="350"/>
      <c r="C294" s="351">
        <v>4</v>
      </c>
      <c r="D294" s="352">
        <v>3.15</v>
      </c>
      <c r="E294" s="352"/>
      <c r="F294" s="352"/>
      <c r="G294" s="351">
        <v>2</v>
      </c>
      <c r="H294" s="353">
        <f>ROUND(C294*D294-E294-F294,2)*G294</f>
        <v>25.2</v>
      </c>
    </row>
    <row r="295" spans="1:8" s="186" customFormat="1" ht="15.75">
      <c r="A295" s="350" t="s">
        <v>283</v>
      </c>
      <c r="B295" s="350"/>
      <c r="C295" s="351">
        <v>2.11</v>
      </c>
      <c r="D295" s="352">
        <v>3.15</v>
      </c>
      <c r="E295" s="352">
        <v>1.68</v>
      </c>
      <c r="F295" s="352">
        <f>1.96*1.8-0.8*1.8</f>
        <v>2.088</v>
      </c>
      <c r="G295" s="351">
        <v>2</v>
      </c>
      <c r="H295" s="353">
        <f t="shared" si="9"/>
        <v>7.851999999999999</v>
      </c>
    </row>
    <row r="296" spans="1:8" s="186" customFormat="1" ht="15.75">
      <c r="A296" s="350" t="s">
        <v>284</v>
      </c>
      <c r="B296" s="350"/>
      <c r="C296" s="351">
        <v>1.3</v>
      </c>
      <c r="D296" s="352">
        <v>3.15</v>
      </c>
      <c r="E296" s="352"/>
      <c r="F296" s="352">
        <v>2.34</v>
      </c>
      <c r="G296" s="351">
        <v>2</v>
      </c>
      <c r="H296" s="353">
        <f t="shared" si="9"/>
        <v>5.859999999999999</v>
      </c>
    </row>
    <row r="297" spans="1:8" s="186" customFormat="1" ht="15.75">
      <c r="A297" s="350" t="s">
        <v>287</v>
      </c>
      <c r="B297" s="350"/>
      <c r="C297" s="351">
        <v>4</v>
      </c>
      <c r="D297" s="352">
        <v>3.15</v>
      </c>
      <c r="E297" s="352">
        <f>0.8*2.1</f>
        <v>1.6800000000000002</v>
      </c>
      <c r="F297" s="352">
        <f>1.96*1.8</f>
        <v>3.528</v>
      </c>
      <c r="G297" s="351">
        <v>2</v>
      </c>
      <c r="H297" s="353">
        <f t="shared" si="9"/>
        <v>18.312</v>
      </c>
    </row>
    <row r="298" spans="1:8" s="186" customFormat="1" ht="15.75">
      <c r="A298" s="350" t="s">
        <v>288</v>
      </c>
      <c r="B298" s="350"/>
      <c r="C298" s="351">
        <v>4</v>
      </c>
      <c r="D298" s="352">
        <v>3.15</v>
      </c>
      <c r="E298" s="352"/>
      <c r="F298" s="352"/>
      <c r="G298" s="351">
        <v>2</v>
      </c>
      <c r="H298" s="353">
        <f>ROUND(C298*D298-E298-F298,2)*G298</f>
        <v>25.2</v>
      </c>
    </row>
    <row r="299" spans="1:8" s="186" customFormat="1" ht="15.75">
      <c r="A299" s="350" t="s">
        <v>289</v>
      </c>
      <c r="B299" s="350"/>
      <c r="C299" s="351">
        <v>18.75</v>
      </c>
      <c r="D299" s="352">
        <v>3.15</v>
      </c>
      <c r="E299" s="352">
        <v>10.5</v>
      </c>
      <c r="F299" s="352">
        <f>1.4*1.8-0.8*1.8</f>
        <v>1.0799999999999998</v>
      </c>
      <c r="G299" s="351">
        <v>2</v>
      </c>
      <c r="H299" s="353">
        <f>ROUND(C299*D299-E299,2)*G299-F299</f>
        <v>96.04</v>
      </c>
    </row>
    <row r="300" spans="1:8" s="186" customFormat="1" ht="15.75">
      <c r="A300" s="350" t="s">
        <v>290</v>
      </c>
      <c r="B300" s="350"/>
      <c r="C300" s="351">
        <v>4.15</v>
      </c>
      <c r="D300" s="352">
        <v>3.15</v>
      </c>
      <c r="E300" s="352"/>
      <c r="F300" s="352">
        <f>1.85*1.8+2*1.8</f>
        <v>6.93</v>
      </c>
      <c r="G300" s="351">
        <v>2</v>
      </c>
      <c r="H300" s="353">
        <f>ROUND(C300*D300-E300,2)*G300-F300</f>
        <v>19.21</v>
      </c>
    </row>
    <row r="301" spans="1:8" s="186" customFormat="1" ht="15.75">
      <c r="A301" s="350" t="s">
        <v>291</v>
      </c>
      <c r="B301" s="350"/>
      <c r="C301" s="351">
        <v>1.4</v>
      </c>
      <c r="D301" s="352">
        <v>3.15</v>
      </c>
      <c r="E301" s="352">
        <f>1*0.3</f>
        <v>0.3</v>
      </c>
      <c r="F301" s="352">
        <f>1.8*1.4*2</f>
        <v>5.04</v>
      </c>
      <c r="G301" s="351">
        <v>2</v>
      </c>
      <c r="H301" s="353">
        <f>ROUND(C301*D301-E301,2)*G301-F301</f>
        <v>3.1800000000000006</v>
      </c>
    </row>
    <row r="302" spans="1:8" s="186" customFormat="1" ht="15.75">
      <c r="A302" s="350" t="s">
        <v>292</v>
      </c>
      <c r="B302" s="350"/>
      <c r="C302" s="351">
        <v>4</v>
      </c>
      <c r="D302" s="352">
        <v>3.15</v>
      </c>
      <c r="E302" s="352">
        <v>0</v>
      </c>
      <c r="F302" s="352">
        <f>1.8*1.8+2*1.8</f>
        <v>6.84</v>
      </c>
      <c r="G302" s="351">
        <v>2</v>
      </c>
      <c r="H302" s="353">
        <f>ROUND(C302*D302-E302,2)*G302-F302</f>
        <v>18.36</v>
      </c>
    </row>
    <row r="303" spans="1:8" s="186" customFormat="1" ht="15.75">
      <c r="A303" s="350" t="s">
        <v>293</v>
      </c>
      <c r="B303" s="350"/>
      <c r="C303" s="351">
        <v>4</v>
      </c>
      <c r="D303" s="352">
        <v>3.15</v>
      </c>
      <c r="E303" s="352"/>
      <c r="F303" s="352"/>
      <c r="G303" s="351">
        <v>2</v>
      </c>
      <c r="H303" s="353">
        <f>ROUND(C303*D303-E303,2)*G303</f>
        <v>25.2</v>
      </c>
    </row>
    <row r="304" spans="1:8" s="186" customFormat="1" ht="15.75">
      <c r="A304" s="350" t="s">
        <v>294</v>
      </c>
      <c r="B304" s="350"/>
      <c r="C304" s="351">
        <v>4</v>
      </c>
      <c r="D304" s="352">
        <v>3.15</v>
      </c>
      <c r="E304" s="352"/>
      <c r="F304" s="352"/>
      <c r="G304" s="351">
        <v>2</v>
      </c>
      <c r="H304" s="353">
        <f>ROUND(C304*D304-E304,2)*G304</f>
        <v>25.2</v>
      </c>
    </row>
    <row r="305" spans="1:8" s="186" customFormat="1" ht="15.75">
      <c r="A305" s="350" t="s">
        <v>295</v>
      </c>
      <c r="B305" s="350"/>
      <c r="C305" s="351">
        <v>2.11</v>
      </c>
      <c r="D305" s="352">
        <v>3.15</v>
      </c>
      <c r="E305" s="352">
        <f>0.8*2.1</f>
        <v>1.6800000000000002</v>
      </c>
      <c r="F305" s="352">
        <v>2.097</v>
      </c>
      <c r="G305" s="351">
        <v>2</v>
      </c>
      <c r="H305" s="353">
        <f aca="true" t="shared" si="10" ref="H305:H313">ROUND(C305*D305-E305,2)*G305-F305</f>
        <v>7.843</v>
      </c>
    </row>
    <row r="306" spans="1:8" s="186" customFormat="1" ht="15.75">
      <c r="A306" s="350" t="s">
        <v>390</v>
      </c>
      <c r="B306" s="350"/>
      <c r="C306" s="351">
        <v>1.3</v>
      </c>
      <c r="D306" s="352">
        <v>3.15</v>
      </c>
      <c r="E306" s="352">
        <v>0</v>
      </c>
      <c r="F306" s="352">
        <f>1.3*1.8</f>
        <v>2.3400000000000003</v>
      </c>
      <c r="G306" s="351">
        <v>2</v>
      </c>
      <c r="H306" s="353">
        <f t="shared" si="10"/>
        <v>5.859999999999999</v>
      </c>
    </row>
    <row r="307" spans="1:8" s="186" customFormat="1" ht="15.75">
      <c r="A307" s="350" t="s">
        <v>391</v>
      </c>
      <c r="B307" s="350"/>
      <c r="C307" s="351">
        <v>4</v>
      </c>
      <c r="D307" s="352">
        <v>3.15</v>
      </c>
      <c r="E307" s="352">
        <f>0.8*2.1</f>
        <v>1.6800000000000002</v>
      </c>
      <c r="F307" s="352">
        <f>1.965*1.8</f>
        <v>3.5370000000000004</v>
      </c>
      <c r="G307" s="351">
        <v>2</v>
      </c>
      <c r="H307" s="353">
        <f t="shared" si="10"/>
        <v>18.303</v>
      </c>
    </row>
    <row r="308" spans="1:8" s="186" customFormat="1" ht="15.75">
      <c r="A308" s="350" t="s">
        <v>392</v>
      </c>
      <c r="B308" s="350"/>
      <c r="C308" s="351">
        <v>4</v>
      </c>
      <c r="D308" s="352">
        <v>3.15</v>
      </c>
      <c r="E308" s="352"/>
      <c r="F308" s="352">
        <f>4*1.8</f>
        <v>7.2</v>
      </c>
      <c r="G308" s="351">
        <v>2</v>
      </c>
      <c r="H308" s="353">
        <f t="shared" si="10"/>
        <v>18</v>
      </c>
    </row>
    <row r="309" spans="1:8" s="186" customFormat="1" ht="15.75">
      <c r="A309" s="350" t="s">
        <v>393</v>
      </c>
      <c r="B309" s="350"/>
      <c r="C309" s="351">
        <v>1</v>
      </c>
      <c r="D309" s="352">
        <v>3.15</v>
      </c>
      <c r="E309" s="352">
        <f>0.8*2.1</f>
        <v>1.6800000000000002</v>
      </c>
      <c r="F309" s="352">
        <f>1*1.8-0.8*1.8</f>
        <v>0.3599999999999999</v>
      </c>
      <c r="G309" s="351">
        <v>2</v>
      </c>
      <c r="H309" s="353">
        <f t="shared" si="10"/>
        <v>2.58</v>
      </c>
    </row>
    <row r="310" spans="1:8" s="186" customFormat="1" ht="15.75">
      <c r="A310" s="350" t="s">
        <v>394</v>
      </c>
      <c r="B310" s="350"/>
      <c r="C310" s="351">
        <v>2.85</v>
      </c>
      <c r="D310" s="352">
        <v>3.15</v>
      </c>
      <c r="E310" s="352"/>
      <c r="F310" s="352">
        <f>2.85*2*1.8</f>
        <v>10.26</v>
      </c>
      <c r="G310" s="351">
        <v>2</v>
      </c>
      <c r="H310" s="353">
        <f t="shared" si="10"/>
        <v>7.700000000000001</v>
      </c>
    </row>
    <row r="311" spans="1:8" s="186" customFormat="1" ht="15.75">
      <c r="A311" s="350" t="s">
        <v>395</v>
      </c>
      <c r="B311" s="350"/>
      <c r="C311" s="351">
        <v>2.85</v>
      </c>
      <c r="D311" s="352">
        <v>3.15</v>
      </c>
      <c r="E311" s="352"/>
      <c r="F311" s="352">
        <f>2.85*1.8*2</f>
        <v>10.26</v>
      </c>
      <c r="G311" s="351">
        <v>2</v>
      </c>
      <c r="H311" s="353">
        <f t="shared" si="10"/>
        <v>7.700000000000001</v>
      </c>
    </row>
    <row r="312" spans="1:8" s="186" customFormat="1" ht="15.75">
      <c r="A312" s="350" t="s">
        <v>396</v>
      </c>
      <c r="B312" s="350"/>
      <c r="C312" s="351">
        <v>3.5</v>
      </c>
      <c r="D312" s="352">
        <v>3.15</v>
      </c>
      <c r="E312" s="352">
        <f>0.9*2.1</f>
        <v>1.8900000000000001</v>
      </c>
      <c r="F312" s="352">
        <f>3.5*1.8-0.9*1.8</f>
        <v>4.68</v>
      </c>
      <c r="G312" s="351">
        <v>2</v>
      </c>
      <c r="H312" s="353">
        <f t="shared" si="10"/>
        <v>13.600000000000001</v>
      </c>
    </row>
    <row r="313" spans="1:8" s="186" customFormat="1" ht="15.75">
      <c r="A313" s="350" t="s">
        <v>397</v>
      </c>
      <c r="B313" s="350"/>
      <c r="C313" s="351">
        <v>1</v>
      </c>
      <c r="D313" s="352">
        <v>3.15</v>
      </c>
      <c r="E313" s="352">
        <v>1.68</v>
      </c>
      <c r="F313" s="352">
        <f>1*1.8-0.8*1.8</f>
        <v>0.3599999999999999</v>
      </c>
      <c r="G313" s="351">
        <v>2</v>
      </c>
      <c r="H313" s="353">
        <f t="shared" si="10"/>
        <v>2.58</v>
      </c>
    </row>
    <row r="314" spans="1:8" s="186" customFormat="1" ht="15.75">
      <c r="A314" s="350" t="s">
        <v>398</v>
      </c>
      <c r="B314" s="350"/>
      <c r="C314" s="351">
        <f>9.1+12+23.45+12+9.875</f>
        <v>66.425</v>
      </c>
      <c r="D314" s="361">
        <v>1.26</v>
      </c>
      <c r="E314" s="361"/>
      <c r="F314" s="361"/>
      <c r="G314" s="351">
        <v>2</v>
      </c>
      <c r="H314" s="353">
        <f>ROUND(C314*D314-E314,2)*G314</f>
        <v>167.4</v>
      </c>
    </row>
    <row r="315" spans="1:8" s="186" customFormat="1" ht="15.75">
      <c r="A315" s="350" t="s">
        <v>399</v>
      </c>
      <c r="B315" s="350"/>
      <c r="C315" s="351">
        <f>3.265*2+4.5*2</f>
        <v>15.530000000000001</v>
      </c>
      <c r="D315" s="352">
        <v>3</v>
      </c>
      <c r="E315" s="352">
        <v>1.47</v>
      </c>
      <c r="F315" s="352"/>
      <c r="G315" s="351">
        <v>2</v>
      </c>
      <c r="H315" s="353">
        <f>ROUND(C315*D315-E315,2)*G315</f>
        <v>90.24</v>
      </c>
    </row>
    <row r="316" spans="1:8" s="186" customFormat="1" ht="15.75">
      <c r="A316" s="350" t="s">
        <v>400</v>
      </c>
      <c r="B316" s="350"/>
      <c r="C316" s="351"/>
      <c r="D316" s="352"/>
      <c r="E316" s="352"/>
      <c r="F316" s="352"/>
      <c r="G316" s="351"/>
      <c r="H316" s="353">
        <v>57.5</v>
      </c>
    </row>
    <row r="317" spans="1:8" s="186" customFormat="1" ht="15.75">
      <c r="A317" s="362"/>
      <c r="B317" s="362"/>
      <c r="C317" s="362"/>
      <c r="D317" s="362"/>
      <c r="E317" s="362"/>
      <c r="F317" s="362" t="s">
        <v>6</v>
      </c>
      <c r="G317" s="354" t="s">
        <v>6</v>
      </c>
      <c r="H317" s="355">
        <f>SUM(H282:H316)</f>
        <v>1037.8740000000003</v>
      </c>
    </row>
    <row r="318" spans="1:8" ht="15.75">
      <c r="A318" s="363"/>
      <c r="B318" s="363"/>
      <c r="C318" s="363"/>
      <c r="D318" s="363"/>
      <c r="E318" s="363"/>
      <c r="F318" s="363"/>
      <c r="G318" s="363"/>
      <c r="H318" s="363"/>
    </row>
    <row r="319" spans="1:8" ht="15.75">
      <c r="A319" s="344" t="s">
        <v>160</v>
      </c>
      <c r="B319" s="344"/>
      <c r="C319" s="344"/>
      <c r="D319" s="344"/>
      <c r="E319" s="344"/>
      <c r="F319" s="344"/>
      <c r="G319" s="344"/>
      <c r="H319" s="345"/>
    </row>
    <row r="320" spans="1:8" ht="31.5">
      <c r="A320" s="364" t="s">
        <v>249</v>
      </c>
      <c r="B320" s="364"/>
      <c r="C320" s="364"/>
      <c r="D320" s="347" t="s">
        <v>330</v>
      </c>
      <c r="E320" s="365" t="s">
        <v>309</v>
      </c>
      <c r="F320" s="365" t="s">
        <v>401</v>
      </c>
      <c r="G320" s="365" t="s">
        <v>332</v>
      </c>
      <c r="H320" s="365" t="s">
        <v>402</v>
      </c>
    </row>
    <row r="321" spans="1:8" ht="15.75">
      <c r="A321" s="366" t="s">
        <v>403</v>
      </c>
      <c r="B321" s="366"/>
      <c r="C321" s="366"/>
      <c r="D321" s="367">
        <f>0.6+2*0.1</f>
        <v>0.8</v>
      </c>
      <c r="E321" s="367">
        <f>1+2*0.1</f>
        <v>1.2</v>
      </c>
      <c r="F321" s="367">
        <v>2</v>
      </c>
      <c r="G321" s="368">
        <v>2</v>
      </c>
      <c r="H321" s="368">
        <f>D321*E321*F321*G321</f>
        <v>3.84</v>
      </c>
    </row>
    <row r="322" spans="1:8" ht="15.75">
      <c r="A322" s="366" t="s">
        <v>404</v>
      </c>
      <c r="B322" s="366"/>
      <c r="C322" s="366"/>
      <c r="D322" s="367">
        <f>0.3+2*0.1</f>
        <v>0.5</v>
      </c>
      <c r="E322" s="367">
        <f>1+2*0.1</f>
        <v>1.2</v>
      </c>
      <c r="F322" s="367">
        <v>2</v>
      </c>
      <c r="G322" s="368">
        <v>6</v>
      </c>
      <c r="H322" s="368">
        <f>D322*E322*F322*G322</f>
        <v>7.199999999999999</v>
      </c>
    </row>
    <row r="323" spans="1:8" ht="15.75">
      <c r="A323" s="366" t="s">
        <v>405</v>
      </c>
      <c r="B323" s="366"/>
      <c r="C323" s="366"/>
      <c r="D323" s="367">
        <f>1.15+2*0.1</f>
        <v>1.3499999999999999</v>
      </c>
      <c r="E323" s="367">
        <f>1.5+2*0.1</f>
        <v>1.7</v>
      </c>
      <c r="F323" s="367">
        <v>2</v>
      </c>
      <c r="G323" s="368">
        <v>2</v>
      </c>
      <c r="H323" s="368">
        <f>D323*E323*F323*G323</f>
        <v>9.18</v>
      </c>
    </row>
    <row r="324" spans="1:8" ht="15.75">
      <c r="A324" s="366" t="s">
        <v>406</v>
      </c>
      <c r="B324" s="366"/>
      <c r="C324" s="366"/>
      <c r="D324" s="367">
        <f>1.15+2*0.1</f>
        <v>1.3499999999999999</v>
      </c>
      <c r="E324" s="367">
        <f>2+2*0.1</f>
        <v>2.2</v>
      </c>
      <c r="F324" s="367">
        <v>2</v>
      </c>
      <c r="G324" s="368">
        <v>7</v>
      </c>
      <c r="H324" s="368">
        <f>D324*E324*F324*G324</f>
        <v>41.58</v>
      </c>
    </row>
    <row r="325" spans="1:8" ht="15.75">
      <c r="A325" s="366" t="s">
        <v>278</v>
      </c>
      <c r="B325" s="366"/>
      <c r="C325" s="366"/>
      <c r="D325" s="367">
        <f>2.1+2*0.1</f>
        <v>2.3000000000000003</v>
      </c>
      <c r="E325" s="367">
        <f>2+2*0.1</f>
        <v>2.2</v>
      </c>
      <c r="F325" s="367">
        <v>2</v>
      </c>
      <c r="G325" s="368">
        <v>1</v>
      </c>
      <c r="H325" s="368">
        <f>D325*E325*F325*G325</f>
        <v>10.120000000000003</v>
      </c>
    </row>
    <row r="326" spans="1:8" ht="15.75">
      <c r="A326" s="362"/>
      <c r="B326" s="362"/>
      <c r="C326" s="362"/>
      <c r="D326" s="362"/>
      <c r="E326" s="362"/>
      <c r="F326" s="362"/>
      <c r="G326" s="354" t="s">
        <v>6</v>
      </c>
      <c r="H326" s="355">
        <f>SUM(H321:H325)</f>
        <v>71.92</v>
      </c>
    </row>
    <row r="327" spans="1:8" ht="15.75">
      <c r="A327" s="363"/>
      <c r="B327" s="363"/>
      <c r="C327" s="363"/>
      <c r="D327" s="363"/>
      <c r="E327" s="363"/>
      <c r="F327" s="363"/>
      <c r="G327" s="363"/>
      <c r="H327" s="363"/>
    </row>
    <row r="328" spans="1:8" ht="15.75">
      <c r="A328" s="344" t="s">
        <v>164</v>
      </c>
      <c r="B328" s="344"/>
      <c r="C328" s="344"/>
      <c r="D328" s="344"/>
      <c r="E328" s="344"/>
      <c r="F328" s="344"/>
      <c r="G328" s="344"/>
      <c r="H328" s="345"/>
    </row>
    <row r="329" spans="1:8" ht="31.5">
      <c r="A329" s="337" t="s">
        <v>249</v>
      </c>
      <c r="B329" s="338"/>
      <c r="C329" s="338"/>
      <c r="D329" s="339"/>
      <c r="E329" s="347" t="s">
        <v>330</v>
      </c>
      <c r="F329" s="365" t="s">
        <v>309</v>
      </c>
      <c r="G329" s="365" t="s">
        <v>332</v>
      </c>
      <c r="H329" s="365" t="s">
        <v>402</v>
      </c>
    </row>
    <row r="330" spans="1:8" ht="15.75">
      <c r="A330" s="369" t="s">
        <v>407</v>
      </c>
      <c r="B330" s="370"/>
      <c r="C330" s="370"/>
      <c r="D330" s="371"/>
      <c r="E330" s="367">
        <v>4</v>
      </c>
      <c r="F330" s="367">
        <f>65/1000</f>
        <v>0.065</v>
      </c>
      <c r="G330" s="368">
        <v>1</v>
      </c>
      <c r="H330" s="368">
        <f>E330*F330*G330</f>
        <v>0.26</v>
      </c>
    </row>
    <row r="331" spans="1:8" ht="15.75">
      <c r="A331" s="362"/>
      <c r="B331" s="362"/>
      <c r="C331" s="362"/>
      <c r="D331" s="362"/>
      <c r="E331" s="362"/>
      <c r="F331" s="362"/>
      <c r="G331" s="354" t="s">
        <v>6</v>
      </c>
      <c r="H331" s="355">
        <f>H330</f>
        <v>0.26</v>
      </c>
    </row>
    <row r="332" spans="1:8" ht="15.75">
      <c r="A332" s="372"/>
      <c r="B332" s="372"/>
      <c r="C332" s="372"/>
      <c r="D332" s="372"/>
      <c r="E332" s="372"/>
      <c r="F332" s="372"/>
      <c r="G332" s="372"/>
      <c r="H332" s="372"/>
    </row>
    <row r="333" spans="1:8" ht="12.75" customHeight="1">
      <c r="A333" s="304" t="s">
        <v>408</v>
      </c>
      <c r="B333" s="304"/>
      <c r="C333" s="304"/>
      <c r="D333" s="304"/>
      <c r="E333" s="304"/>
      <c r="F333" s="304"/>
      <c r="G333" s="304"/>
      <c r="H333" s="294"/>
    </row>
    <row r="334" spans="1:8" ht="15.75">
      <c r="A334" s="337" t="s">
        <v>249</v>
      </c>
      <c r="B334" s="338"/>
      <c r="C334" s="338"/>
      <c r="D334" s="338"/>
      <c r="E334" s="339"/>
      <c r="F334" s="340" t="s">
        <v>352</v>
      </c>
      <c r="G334" s="340" t="s">
        <v>330</v>
      </c>
      <c r="H334" s="341" t="s">
        <v>251</v>
      </c>
    </row>
    <row r="335" spans="1:8" ht="15.75">
      <c r="A335" s="254" t="s">
        <v>409</v>
      </c>
      <c r="B335" s="254"/>
      <c r="C335" s="254"/>
      <c r="D335" s="254"/>
      <c r="E335" s="254"/>
      <c r="F335" s="255">
        <v>87.2</v>
      </c>
      <c r="G335" s="255">
        <v>2.2</v>
      </c>
      <c r="H335" s="342">
        <f>F335*G335</f>
        <v>191.84000000000003</v>
      </c>
    </row>
    <row r="336" spans="1:8" ht="15.75">
      <c r="A336" s="331"/>
      <c r="B336" s="331"/>
      <c r="C336" s="331"/>
      <c r="D336" s="331"/>
      <c r="E336" s="331"/>
      <c r="F336" s="332"/>
      <c r="G336" s="257" t="s">
        <v>6</v>
      </c>
      <c r="H336" s="343">
        <f>SUM(H335:H335)</f>
        <v>191.84000000000003</v>
      </c>
    </row>
    <row r="337" spans="1:8" ht="15.75">
      <c r="A337" s="372"/>
      <c r="B337" s="372"/>
      <c r="C337" s="372"/>
      <c r="D337" s="372"/>
      <c r="E337" s="372"/>
      <c r="F337" s="372"/>
      <c r="G337" s="372"/>
      <c r="H337" s="372"/>
    </row>
    <row r="338" spans="1:8" ht="15.75">
      <c r="A338" s="344" t="s">
        <v>173</v>
      </c>
      <c r="B338" s="344"/>
      <c r="C338" s="344"/>
      <c r="D338" s="344"/>
      <c r="E338" s="344"/>
      <c r="F338" s="344"/>
      <c r="G338" s="344"/>
      <c r="H338" s="345"/>
    </row>
    <row r="339" spans="1:8" ht="31.5">
      <c r="A339" s="337" t="s">
        <v>249</v>
      </c>
      <c r="B339" s="338"/>
      <c r="C339" s="338"/>
      <c r="D339" s="338"/>
      <c r="E339" s="339"/>
      <c r="F339" s="365" t="s">
        <v>410</v>
      </c>
      <c r="G339" s="365" t="s">
        <v>332</v>
      </c>
      <c r="H339" s="365" t="s">
        <v>411</v>
      </c>
    </row>
    <row r="340" spans="1:8" ht="15.75">
      <c r="A340" s="350" t="s">
        <v>412</v>
      </c>
      <c r="B340" s="350"/>
      <c r="C340" s="350"/>
      <c r="D340" s="350"/>
      <c r="E340" s="350"/>
      <c r="F340" s="367">
        <v>0.9</v>
      </c>
      <c r="G340" s="368">
        <v>6</v>
      </c>
      <c r="H340" s="368">
        <f>F340*G340</f>
        <v>5.4</v>
      </c>
    </row>
    <row r="341" spans="1:8" ht="15.75">
      <c r="A341" s="362"/>
      <c r="B341" s="362"/>
      <c r="C341" s="362"/>
      <c r="D341" s="362"/>
      <c r="E341" s="362"/>
      <c r="F341" s="362"/>
      <c r="G341" s="257" t="s">
        <v>6</v>
      </c>
      <c r="H341" s="258">
        <f>H340</f>
        <v>5.4</v>
      </c>
    </row>
    <row r="342" spans="1:16" s="238" customFormat="1" ht="15.75">
      <c r="A342" s="373"/>
      <c r="B342" s="373"/>
      <c r="C342" s="373"/>
      <c r="D342" s="373"/>
      <c r="E342" s="373"/>
      <c r="F342" s="373"/>
      <c r="G342" s="373"/>
      <c r="H342" s="373"/>
      <c r="I342" s="242"/>
      <c r="J342" s="242"/>
      <c r="K342" s="242"/>
      <c r="L342" s="242"/>
      <c r="M342" s="242"/>
      <c r="N342" s="242"/>
      <c r="O342" s="242"/>
      <c r="P342" s="242"/>
    </row>
    <row r="343" spans="1:9" s="239" customFormat="1" ht="15.75">
      <c r="A343" s="344" t="s">
        <v>413</v>
      </c>
      <c r="B343" s="344"/>
      <c r="C343" s="344"/>
      <c r="D343" s="344"/>
      <c r="E343" s="344"/>
      <c r="F343" s="344"/>
      <c r="G343" s="344"/>
      <c r="H343" s="345"/>
      <c r="I343" s="241"/>
    </row>
    <row r="344" spans="1:8" s="240" customFormat="1" ht="22.5" customHeight="1">
      <c r="A344" s="344" t="s">
        <v>249</v>
      </c>
      <c r="B344" s="344"/>
      <c r="C344" s="374" t="s">
        <v>18</v>
      </c>
      <c r="D344" s="374" t="s">
        <v>414</v>
      </c>
      <c r="E344" s="374" t="s">
        <v>415</v>
      </c>
      <c r="F344" s="374" t="s">
        <v>6</v>
      </c>
      <c r="G344" s="374" t="s">
        <v>416</v>
      </c>
      <c r="H344" s="345" t="s">
        <v>417</v>
      </c>
    </row>
    <row r="345" spans="1:256" s="241" customFormat="1" ht="21" customHeight="1">
      <c r="A345" s="360" t="s">
        <v>418</v>
      </c>
      <c r="B345" s="360"/>
      <c r="C345" s="375">
        <f>H266</f>
        <v>87.2</v>
      </c>
      <c r="D345" s="345"/>
      <c r="E345" s="345"/>
      <c r="F345" s="345"/>
      <c r="G345" s="345"/>
      <c r="H345" s="345"/>
      <c r="I345" s="183"/>
      <c r="J345" s="183"/>
      <c r="K345" s="183"/>
      <c r="L345" s="183"/>
      <c r="M345" s="183"/>
      <c r="N345" s="183"/>
      <c r="O345" s="183"/>
      <c r="P345" s="18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s="241" customFormat="1" ht="15.75">
      <c r="A346" s="350" t="s">
        <v>419</v>
      </c>
      <c r="B346" s="350"/>
      <c r="C346" s="350"/>
      <c r="D346" s="366" t="s">
        <v>420</v>
      </c>
      <c r="E346" s="351">
        <f>192.52*0.0376</f>
        <v>7.238752000000001</v>
      </c>
      <c r="F346" s="367">
        <f>$C$345*E346</f>
        <v>631.2191744</v>
      </c>
      <c r="G346" s="368">
        <v>1</v>
      </c>
      <c r="H346" s="368">
        <f>ROUND((F346*G346)/1000,2)</f>
        <v>0.63</v>
      </c>
      <c r="I346" s="183"/>
      <c r="J346" s="183"/>
      <c r="K346" s="183"/>
      <c r="L346" s="183"/>
      <c r="M346" s="183"/>
      <c r="N346" s="183"/>
      <c r="O346" s="183"/>
      <c r="P346" s="183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s="241" customFormat="1" ht="15.75">
      <c r="A347" s="350" t="s">
        <v>421</v>
      </c>
      <c r="B347" s="350"/>
      <c r="C347" s="350"/>
      <c r="D347" s="366" t="s">
        <v>422</v>
      </c>
      <c r="E347" s="351">
        <f>171.13*0.0376</f>
        <v>6.434488</v>
      </c>
      <c r="F347" s="367">
        <f>$C$345*E347</f>
        <v>561.0873536</v>
      </c>
      <c r="G347" s="368">
        <v>1</v>
      </c>
      <c r="H347" s="368">
        <f>ROUND((F347*G347)/1000,2)</f>
        <v>0.56</v>
      </c>
      <c r="I347" s="183"/>
      <c r="J347" s="183"/>
      <c r="K347" s="183"/>
      <c r="L347" s="183"/>
      <c r="M347" s="183"/>
      <c r="N347" s="183"/>
      <c r="O347" s="183"/>
      <c r="P347" s="183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s="241" customFormat="1" ht="15.75">
      <c r="A348" s="350" t="s">
        <v>423</v>
      </c>
      <c r="B348" s="350"/>
      <c r="C348" s="350"/>
      <c r="D348" s="366" t="s">
        <v>424</v>
      </c>
      <c r="E348" s="351">
        <f>1.14*0.0376</f>
        <v>0.042864</v>
      </c>
      <c r="F348" s="367">
        <f>$C$345*E348</f>
        <v>3.7377408</v>
      </c>
      <c r="G348" s="368">
        <v>1500</v>
      </c>
      <c r="H348" s="368">
        <f>ROUND((F348*G348)/1000,2)</f>
        <v>5.61</v>
      </c>
      <c r="I348" s="183"/>
      <c r="J348" s="183"/>
      <c r="K348" s="183"/>
      <c r="L348" s="183"/>
      <c r="M348" s="183"/>
      <c r="N348" s="183"/>
      <c r="O348" s="183"/>
      <c r="P348" s="183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s="241" customFormat="1" ht="15.75">
      <c r="A349" s="376"/>
      <c r="B349" s="376"/>
      <c r="C349" s="376"/>
      <c r="D349" s="376"/>
      <c r="E349" s="376"/>
      <c r="F349" s="376"/>
      <c r="G349" s="376"/>
      <c r="H349" s="376"/>
      <c r="I349" s="183"/>
      <c r="J349" s="183"/>
      <c r="K349" s="183"/>
      <c r="L349" s="183"/>
      <c r="M349" s="183"/>
      <c r="N349" s="183"/>
      <c r="O349" s="183"/>
      <c r="P349" s="183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8" s="241" customFormat="1" ht="15" customHeight="1">
      <c r="A350" s="360" t="s">
        <v>425</v>
      </c>
      <c r="B350" s="360"/>
      <c r="C350" s="351">
        <f>H266+H275</f>
        <v>129.97</v>
      </c>
      <c r="D350" s="345"/>
      <c r="E350" s="345"/>
      <c r="F350" s="345"/>
      <c r="G350" s="345"/>
      <c r="H350" s="345"/>
    </row>
    <row r="351" spans="1:8" s="241" customFormat="1" ht="25.5" customHeight="1">
      <c r="A351" s="350" t="s">
        <v>426</v>
      </c>
      <c r="B351" s="350"/>
      <c r="C351" s="350"/>
      <c r="D351" s="366" t="s">
        <v>427</v>
      </c>
      <c r="E351" s="351">
        <f>1*3.2</f>
        <v>3.2</v>
      </c>
      <c r="F351" s="367">
        <f>C350*E351</f>
        <v>415.904</v>
      </c>
      <c r="G351" s="368">
        <v>1</v>
      </c>
      <c r="H351" s="368">
        <f>ROUND((F351*G351)/1000,2)</f>
        <v>0.42</v>
      </c>
    </row>
    <row r="352" spans="1:8" s="241" customFormat="1" ht="15.75">
      <c r="A352" s="376"/>
      <c r="B352" s="376"/>
      <c r="C352" s="376"/>
      <c r="D352" s="376"/>
      <c r="E352" s="376"/>
      <c r="F352" s="376"/>
      <c r="G352" s="376"/>
      <c r="H352" s="376"/>
    </row>
    <row r="353" spans="1:8" s="241" customFormat="1" ht="15.75">
      <c r="A353" s="360" t="s">
        <v>428</v>
      </c>
      <c r="B353" s="360"/>
      <c r="C353" s="375">
        <f>H317+H336</f>
        <v>1229.7140000000004</v>
      </c>
      <c r="D353" s="345"/>
      <c r="E353" s="345"/>
      <c r="F353" s="345"/>
      <c r="G353" s="345"/>
      <c r="H353" s="345"/>
    </row>
    <row r="354" spans="1:8" s="241" customFormat="1" ht="31.5">
      <c r="A354" s="350" t="s">
        <v>429</v>
      </c>
      <c r="B354" s="350"/>
      <c r="C354" s="350"/>
      <c r="D354" s="375" t="s">
        <v>430</v>
      </c>
      <c r="E354" s="375">
        <f>1*0.33</f>
        <v>0.33</v>
      </c>
      <c r="F354" s="377">
        <f>C353*E354</f>
        <v>405.80562000000015</v>
      </c>
      <c r="G354" s="377">
        <v>1.09</v>
      </c>
      <c r="H354" s="368">
        <f>ROUND((F354*G354)/1000,2)</f>
        <v>0.44</v>
      </c>
    </row>
    <row r="355" spans="1:15" s="241" customFormat="1" ht="12" customHeight="1">
      <c r="A355" s="376"/>
      <c r="B355" s="376"/>
      <c r="C355" s="376"/>
      <c r="D355" s="376"/>
      <c r="E355" s="376"/>
      <c r="F355" s="376"/>
      <c r="G355" s="376"/>
      <c r="H355" s="376"/>
      <c r="N355" s="241">
        <f>28/18</f>
        <v>1.5555555555555556</v>
      </c>
      <c r="O355" s="241" t="s">
        <v>431</v>
      </c>
    </row>
    <row r="356" spans="1:15" s="241" customFormat="1" ht="16.5" customHeight="1">
      <c r="A356" s="360" t="s">
        <v>432</v>
      </c>
      <c r="B356" s="360"/>
      <c r="C356" s="375">
        <f>H326+H331</f>
        <v>72.18</v>
      </c>
      <c r="D356" s="345"/>
      <c r="E356" s="345"/>
      <c r="F356" s="345"/>
      <c r="G356" s="345"/>
      <c r="H356" s="345"/>
      <c r="O356" s="241">
        <v>0.66</v>
      </c>
    </row>
    <row r="357" spans="1:8" s="241" customFormat="1" ht="31.5">
      <c r="A357" s="350" t="s">
        <v>433</v>
      </c>
      <c r="B357" s="350"/>
      <c r="C357" s="350"/>
      <c r="D357" s="375" t="s">
        <v>434</v>
      </c>
      <c r="E357" s="375">
        <v>0.2549</v>
      </c>
      <c r="F357" s="377">
        <f>$C$356*E357</f>
        <v>18.398682000000004</v>
      </c>
      <c r="G357" s="377">
        <v>1.09</v>
      </c>
      <c r="H357" s="368">
        <f>ROUND((F357*G357)/1000,2)</f>
        <v>0.02</v>
      </c>
    </row>
    <row r="358" spans="1:8" s="241" customFormat="1" ht="12" customHeight="1">
      <c r="A358" s="376"/>
      <c r="B358" s="376"/>
      <c r="C358" s="376"/>
      <c r="D358" s="376"/>
      <c r="E358" s="376"/>
      <c r="F358" s="376"/>
      <c r="G358" s="376"/>
      <c r="H358" s="376"/>
    </row>
    <row r="359" spans="1:8" s="241" customFormat="1" ht="16.5" customHeight="1">
      <c r="A359" s="360" t="s">
        <v>435</v>
      </c>
      <c r="B359" s="360"/>
      <c r="C359" s="375">
        <v>4</v>
      </c>
      <c r="D359" s="345"/>
      <c r="E359" s="345"/>
      <c r="F359" s="345"/>
      <c r="G359" s="345"/>
      <c r="H359" s="345"/>
    </row>
    <row r="360" spans="1:8" s="241" customFormat="1" ht="15.75">
      <c r="A360" s="350" t="s">
        <v>436</v>
      </c>
      <c r="B360" s="350"/>
      <c r="C360" s="350"/>
      <c r="D360" s="375" t="s">
        <v>437</v>
      </c>
      <c r="E360" s="375">
        <v>1</v>
      </c>
      <c r="F360" s="377">
        <f>C359*E360</f>
        <v>4</v>
      </c>
      <c r="G360" s="377">
        <v>6.23</v>
      </c>
      <c r="H360" s="368">
        <f>ROUND((F360*G360)/1000,2)</f>
        <v>0.02</v>
      </c>
    </row>
    <row r="361" spans="1:8" s="241" customFormat="1" ht="16.5" customHeight="1">
      <c r="A361" s="378"/>
      <c r="B361" s="378"/>
      <c r="C361" s="378"/>
      <c r="D361" s="378"/>
      <c r="E361" s="378"/>
      <c r="F361" s="378"/>
      <c r="G361" s="376"/>
      <c r="H361" s="376"/>
    </row>
    <row r="362" spans="1:9" s="239" customFormat="1" ht="15.75">
      <c r="A362" s="379"/>
      <c r="B362" s="379"/>
      <c r="C362" s="379"/>
      <c r="D362" s="379"/>
      <c r="E362" s="379"/>
      <c r="F362" s="379"/>
      <c r="G362" s="380" t="s">
        <v>6</v>
      </c>
      <c r="H362" s="381">
        <f>SUM(H346:H360)</f>
        <v>7.7</v>
      </c>
      <c r="I362" s="241"/>
    </row>
    <row r="363" spans="1:9" s="239" customFormat="1" ht="15.75">
      <c r="A363" s="382"/>
      <c r="B363" s="382"/>
      <c r="C363" s="382"/>
      <c r="D363" s="382"/>
      <c r="E363" s="382"/>
      <c r="F363" s="382"/>
      <c r="G363" s="378"/>
      <c r="H363" s="378"/>
      <c r="I363" s="241"/>
    </row>
    <row r="364" spans="1:9" s="239" customFormat="1" ht="15.75">
      <c r="A364" s="383"/>
      <c r="B364" s="383"/>
      <c r="C364" s="383"/>
      <c r="D364" s="383"/>
      <c r="E364" s="384" t="s">
        <v>438</v>
      </c>
      <c r="F364" s="385"/>
      <c r="G364" s="286">
        <v>89</v>
      </c>
      <c r="H364" s="287" t="s">
        <v>439</v>
      </c>
      <c r="I364" s="241"/>
    </row>
    <row r="365" spans="1:9" s="239" customFormat="1" ht="15.75">
      <c r="A365" s="363"/>
      <c r="B365" s="363"/>
      <c r="C365" s="363"/>
      <c r="D365" s="363"/>
      <c r="E365" s="363"/>
      <c r="F365" s="363"/>
      <c r="G365" s="363"/>
      <c r="H365" s="363"/>
      <c r="I365" s="241"/>
    </row>
    <row r="366" spans="1:9" s="239" customFormat="1" ht="15.75">
      <c r="A366" s="311"/>
      <c r="B366" s="311"/>
      <c r="C366" s="311"/>
      <c r="D366" s="311"/>
      <c r="E366" s="386" t="s">
        <v>440</v>
      </c>
      <c r="F366" s="386"/>
      <c r="G366" s="386"/>
      <c r="H366" s="287">
        <f>H348*30</f>
        <v>168.3</v>
      </c>
      <c r="I366" s="241"/>
    </row>
    <row r="367" spans="1:9" s="239" customFormat="1" ht="15.75">
      <c r="A367" s="311"/>
      <c r="B367" s="311"/>
      <c r="C367" s="311"/>
      <c r="D367" s="311"/>
      <c r="E367" s="386" t="s">
        <v>441</v>
      </c>
      <c r="F367" s="386"/>
      <c r="G367" s="386"/>
      <c r="H367" s="287">
        <f>H348*(G364-30)</f>
        <v>330.99</v>
      </c>
      <c r="I367" s="241"/>
    </row>
    <row r="368" spans="1:9" s="239" customFormat="1" ht="15.75">
      <c r="A368" s="383"/>
      <c r="B368" s="383"/>
      <c r="C368" s="383"/>
      <c r="D368" s="383"/>
      <c r="E368" s="386" t="s">
        <v>442</v>
      </c>
      <c r="F368" s="386"/>
      <c r="G368" s="386"/>
      <c r="H368" s="287">
        <f>(H346+H347+H351+H354+H357+H360)*30</f>
        <v>62.699999999999996</v>
      </c>
      <c r="I368" s="241"/>
    </row>
    <row r="369" spans="1:9" s="239" customFormat="1" ht="15.75">
      <c r="A369" s="383"/>
      <c r="B369" s="383"/>
      <c r="C369" s="383"/>
      <c r="D369" s="383"/>
      <c r="E369" s="386" t="s">
        <v>443</v>
      </c>
      <c r="F369" s="386"/>
      <c r="G369" s="386"/>
      <c r="H369" s="287">
        <f>(H346+H347+H351+H354+H357+H360)*(G364-30)</f>
        <v>123.30999999999999</v>
      </c>
      <c r="I369" s="241"/>
    </row>
    <row r="370" spans="1:8" s="242" customFormat="1" ht="15.75">
      <c r="A370" s="387"/>
      <c r="B370" s="387"/>
      <c r="C370" s="387"/>
      <c r="D370" s="387"/>
      <c r="E370" s="387"/>
      <c r="F370" s="387"/>
      <c r="G370" s="388"/>
      <c r="H370" s="389"/>
    </row>
    <row r="371" spans="1:8" s="242" customFormat="1" ht="15.75">
      <c r="A371" s="344" t="s">
        <v>444</v>
      </c>
      <c r="B371" s="344"/>
      <c r="C371" s="344"/>
      <c r="D371" s="344"/>
      <c r="E371" s="344"/>
      <c r="F371" s="344"/>
      <c r="G371" s="344"/>
      <c r="H371" s="345"/>
    </row>
    <row r="372" spans="1:8" s="242" customFormat="1" ht="15.75">
      <c r="A372" s="387"/>
      <c r="B372" s="387"/>
      <c r="C372" s="387"/>
      <c r="D372" s="387"/>
      <c r="E372" s="387"/>
      <c r="F372" s="387"/>
      <c r="G372" s="388"/>
      <c r="H372" s="389"/>
    </row>
    <row r="373" spans="1:8" s="242" customFormat="1" ht="15.75">
      <c r="A373" s="390" t="s">
        <v>445</v>
      </c>
      <c r="B373" s="390"/>
      <c r="C373" s="390"/>
      <c r="D373" s="390"/>
      <c r="E373" s="390"/>
      <c r="F373" s="390"/>
      <c r="G373" s="390"/>
      <c r="H373" s="391">
        <f>G364</f>
        <v>89</v>
      </c>
    </row>
    <row r="374" spans="1:8" s="242" customFormat="1" ht="15.75">
      <c r="A374" s="390" t="s">
        <v>446</v>
      </c>
      <c r="B374" s="390"/>
      <c r="C374" s="390"/>
      <c r="D374" s="390"/>
      <c r="E374" s="390"/>
      <c r="F374" s="390"/>
      <c r="G374" s="390"/>
      <c r="H374" s="391">
        <v>10</v>
      </c>
    </row>
    <row r="375" spans="1:8" s="242" customFormat="1" ht="15.75">
      <c r="A375" s="392"/>
      <c r="B375" s="392"/>
      <c r="C375" s="392"/>
      <c r="D375" s="392"/>
      <c r="E375" s="392"/>
      <c r="F375" s="392"/>
      <c r="G375" s="392"/>
      <c r="H375" s="392"/>
    </row>
    <row r="376" spans="1:8" s="242" customFormat="1" ht="15.75">
      <c r="A376" s="390" t="s">
        <v>447</v>
      </c>
      <c r="B376" s="390"/>
      <c r="C376" s="390"/>
      <c r="D376" s="390"/>
      <c r="E376" s="390"/>
      <c r="F376" s="390"/>
      <c r="G376" s="390"/>
      <c r="H376" s="392">
        <f>(H373/H374)*2</f>
        <v>17.8</v>
      </c>
    </row>
    <row r="377" spans="1:8" s="242" customFormat="1" ht="15.75">
      <c r="A377" s="387"/>
      <c r="B377" s="387"/>
      <c r="C377" s="387"/>
      <c r="D377" s="387"/>
      <c r="E377" s="387"/>
      <c r="F377" s="387"/>
      <c r="G377" s="388"/>
      <c r="H377" s="389"/>
    </row>
    <row r="378" spans="1:8" ht="15.75">
      <c r="A378" s="393"/>
      <c r="B378" s="393"/>
      <c r="C378" s="393"/>
      <c r="D378" s="393"/>
      <c r="E378" s="393"/>
      <c r="F378" s="393"/>
      <c r="G378" s="393"/>
      <c r="H378" s="393"/>
    </row>
    <row r="379" spans="1:9" ht="15.75">
      <c r="A379" s="244" t="s">
        <v>184</v>
      </c>
      <c r="B379" s="244"/>
      <c r="C379" s="244"/>
      <c r="D379" s="244"/>
      <c r="E379" s="244"/>
      <c r="F379" s="244"/>
      <c r="G379" s="244"/>
      <c r="H379" s="244"/>
      <c r="I379" s="398"/>
    </row>
    <row r="380" spans="1:9" ht="15.75">
      <c r="A380" s="394"/>
      <c r="B380" s="331"/>
      <c r="C380" s="331"/>
      <c r="D380" s="331"/>
      <c r="E380" s="331"/>
      <c r="F380" s="331"/>
      <c r="G380" s="331"/>
      <c r="H380" s="332"/>
      <c r="I380" s="398"/>
    </row>
    <row r="381" spans="1:9" ht="15.75">
      <c r="A381" s="344" t="s">
        <v>186</v>
      </c>
      <c r="B381" s="344"/>
      <c r="C381" s="344"/>
      <c r="D381" s="344"/>
      <c r="E381" s="344"/>
      <c r="F381" s="344"/>
      <c r="G381" s="344"/>
      <c r="H381" s="345"/>
      <c r="I381" s="398"/>
    </row>
    <row r="382" spans="1:9" ht="15.75">
      <c r="A382" s="337" t="s">
        <v>249</v>
      </c>
      <c r="B382" s="338"/>
      <c r="C382" s="338"/>
      <c r="D382" s="338"/>
      <c r="E382" s="339"/>
      <c r="F382" s="340" t="s">
        <v>352</v>
      </c>
      <c r="G382" s="340" t="s">
        <v>330</v>
      </c>
      <c r="H382" s="341" t="s">
        <v>251</v>
      </c>
      <c r="I382" s="398"/>
    </row>
    <row r="383" spans="1:9" ht="15.75">
      <c r="A383" s="254" t="s">
        <v>448</v>
      </c>
      <c r="B383" s="254"/>
      <c r="C383" s="254"/>
      <c r="D383" s="254"/>
      <c r="E383" s="254"/>
      <c r="F383" s="255">
        <v>0.8</v>
      </c>
      <c r="G383" s="255">
        <v>2.1</v>
      </c>
      <c r="H383" s="342">
        <f>F383*G383</f>
        <v>1.6800000000000002</v>
      </c>
      <c r="I383" s="398"/>
    </row>
    <row r="384" spans="1:9" ht="15.75">
      <c r="A384" s="395"/>
      <c r="B384" s="396"/>
      <c r="C384" s="396"/>
      <c r="D384" s="396"/>
      <c r="E384" s="396"/>
      <c r="F384" s="397"/>
      <c r="G384" s="257" t="s">
        <v>6</v>
      </c>
      <c r="H384" s="343">
        <f>SUM(H383:H383)</f>
        <v>1.6800000000000002</v>
      </c>
      <c r="I384" s="398"/>
    </row>
    <row r="385" spans="1:9" ht="15.75">
      <c r="A385" s="372"/>
      <c r="B385" s="372"/>
      <c r="C385" s="372"/>
      <c r="D385" s="372"/>
      <c r="E385" s="372"/>
      <c r="F385" s="372"/>
      <c r="G385" s="372"/>
      <c r="H385" s="372"/>
      <c r="I385" s="398"/>
    </row>
    <row r="386" spans="1:9" ht="15.75">
      <c r="A386" s="344" t="s">
        <v>190</v>
      </c>
      <c r="B386" s="344"/>
      <c r="C386" s="344"/>
      <c r="D386" s="344"/>
      <c r="E386" s="344"/>
      <c r="F386" s="344"/>
      <c r="G386" s="344"/>
      <c r="H386" s="345"/>
      <c r="I386" s="398"/>
    </row>
    <row r="387" spans="1:9" ht="15.75">
      <c r="A387" s="337" t="s">
        <v>249</v>
      </c>
      <c r="B387" s="338"/>
      <c r="C387" s="338"/>
      <c r="D387" s="338"/>
      <c r="E387" s="339"/>
      <c r="F387" s="340" t="s">
        <v>352</v>
      </c>
      <c r="G387" s="340" t="s">
        <v>449</v>
      </c>
      <c r="H387" s="341" t="s">
        <v>251</v>
      </c>
      <c r="I387" s="398"/>
    </row>
    <row r="388" spans="1:9" ht="15.75">
      <c r="A388" s="254" t="s">
        <v>450</v>
      </c>
      <c r="B388" s="254"/>
      <c r="C388" s="254"/>
      <c r="D388" s="254"/>
      <c r="E388" s="254"/>
      <c r="F388" s="255">
        <v>1.15</v>
      </c>
      <c r="G388" s="255">
        <v>1.31</v>
      </c>
      <c r="H388" s="342">
        <f>F388*G388</f>
        <v>1.5065</v>
      </c>
      <c r="I388" s="398"/>
    </row>
    <row r="389" spans="1:9" ht="15.75">
      <c r="A389" s="395"/>
      <c r="B389" s="396"/>
      <c r="C389" s="396"/>
      <c r="D389" s="396"/>
      <c r="E389" s="396"/>
      <c r="F389" s="397"/>
      <c r="G389" s="257" t="s">
        <v>6</v>
      </c>
      <c r="H389" s="343">
        <f>SUM(H388:H388)</f>
        <v>1.5065</v>
      </c>
      <c r="I389" s="398"/>
    </row>
    <row r="390" spans="1:9" ht="15.75">
      <c r="A390" s="372"/>
      <c r="B390" s="372"/>
      <c r="C390" s="372"/>
      <c r="D390" s="372"/>
      <c r="E390" s="372"/>
      <c r="F390" s="372"/>
      <c r="G390" s="372"/>
      <c r="H390" s="372"/>
      <c r="I390" s="398"/>
    </row>
    <row r="391" spans="1:9" ht="15.75">
      <c r="A391" s="344" t="s">
        <v>451</v>
      </c>
      <c r="B391" s="344"/>
      <c r="C391" s="344"/>
      <c r="D391" s="344"/>
      <c r="E391" s="344"/>
      <c r="F391" s="344"/>
      <c r="G391" s="344"/>
      <c r="H391" s="345"/>
      <c r="I391" s="398"/>
    </row>
    <row r="392" spans="1:9" ht="15.75">
      <c r="A392" s="399" t="s">
        <v>249</v>
      </c>
      <c r="B392" s="400"/>
      <c r="C392" s="401"/>
      <c r="D392" s="402" t="s">
        <v>452</v>
      </c>
      <c r="E392" s="402" t="s">
        <v>453</v>
      </c>
      <c r="F392" s="403" t="s">
        <v>454</v>
      </c>
      <c r="G392" s="404"/>
      <c r="H392" s="405" t="s">
        <v>251</v>
      </c>
      <c r="I392" s="398"/>
    </row>
    <row r="393" spans="1:9" ht="15.75">
      <c r="A393" s="406"/>
      <c r="B393" s="407"/>
      <c r="C393" s="408"/>
      <c r="D393" s="409"/>
      <c r="E393" s="409"/>
      <c r="F393" s="340" t="s">
        <v>455</v>
      </c>
      <c r="G393" s="340" t="s">
        <v>456</v>
      </c>
      <c r="H393" s="410"/>
      <c r="I393" s="398"/>
    </row>
    <row r="394" spans="1:9" ht="15.75">
      <c r="A394" s="254" t="s">
        <v>457</v>
      </c>
      <c r="B394" s="254"/>
      <c r="C394" s="254"/>
      <c r="D394" s="255">
        <v>31.6</v>
      </c>
      <c r="E394" s="255">
        <v>3</v>
      </c>
      <c r="F394" s="411">
        <f>0.8*2.1</f>
        <v>1.6800000000000002</v>
      </c>
      <c r="G394" s="411">
        <f>(1.15*1)*2+1*1*3+2*1</f>
        <v>7.3</v>
      </c>
      <c r="H394" s="256">
        <f aca="true" t="shared" si="11" ref="H394:H399">D394*E394-F394-G394</f>
        <v>85.82000000000001</v>
      </c>
      <c r="I394" s="398"/>
    </row>
    <row r="395" spans="1:9" ht="15.75">
      <c r="A395" s="254" t="s">
        <v>458</v>
      </c>
      <c r="B395" s="254"/>
      <c r="C395" s="254"/>
      <c r="D395" s="255">
        <v>15.48</v>
      </c>
      <c r="E395" s="255">
        <v>2.7</v>
      </c>
      <c r="F395" s="411">
        <f>(0.8*2.1)</f>
        <v>1.6800000000000002</v>
      </c>
      <c r="G395" s="411">
        <f>1.15*1</f>
        <v>1.15</v>
      </c>
      <c r="H395" s="256">
        <f t="shared" si="11"/>
        <v>38.96600000000001</v>
      </c>
      <c r="I395" s="398"/>
    </row>
    <row r="396" spans="1:9" ht="15.75">
      <c r="A396" s="254" t="s">
        <v>459</v>
      </c>
      <c r="B396" s="254"/>
      <c r="C396" s="254"/>
      <c r="D396" s="255">
        <v>12.8</v>
      </c>
      <c r="E396" s="255">
        <v>2.7</v>
      </c>
      <c r="F396" s="411">
        <f>(0.8*2.1)*2</f>
        <v>3.3600000000000003</v>
      </c>
      <c r="G396" s="411">
        <f>2*1</f>
        <v>2</v>
      </c>
      <c r="H396" s="256">
        <f t="shared" si="11"/>
        <v>29.200000000000003</v>
      </c>
      <c r="I396" s="398"/>
    </row>
    <row r="397" spans="1:9" ht="15.75">
      <c r="A397" s="254" t="s">
        <v>460</v>
      </c>
      <c r="B397" s="254"/>
      <c r="C397" s="254"/>
      <c r="D397" s="255">
        <v>11.64</v>
      </c>
      <c r="E397" s="255">
        <v>2.7</v>
      </c>
      <c r="F397" s="411">
        <f>0.8*2.1</f>
        <v>1.6800000000000002</v>
      </c>
      <c r="G397" s="411">
        <f>(1*1)*2</f>
        <v>2</v>
      </c>
      <c r="H397" s="256">
        <f t="shared" si="11"/>
        <v>27.748000000000005</v>
      </c>
      <c r="I397" s="398"/>
    </row>
    <row r="398" spans="1:9" ht="15.75">
      <c r="A398" s="254" t="s">
        <v>461</v>
      </c>
      <c r="B398" s="254"/>
      <c r="C398" s="254"/>
      <c r="D398" s="255">
        <v>4.92</v>
      </c>
      <c r="E398" s="255">
        <v>2.7</v>
      </c>
      <c r="F398" s="411">
        <f>2*(0.8*2.1)</f>
        <v>3.3600000000000003</v>
      </c>
      <c r="G398" s="411"/>
      <c r="H398" s="256">
        <f t="shared" si="11"/>
        <v>9.924</v>
      </c>
      <c r="I398" s="398"/>
    </row>
    <row r="399" spans="1:9" ht="15.75">
      <c r="A399" s="254" t="s">
        <v>462</v>
      </c>
      <c r="B399" s="254"/>
      <c r="C399" s="254"/>
      <c r="D399" s="255">
        <v>4.9</v>
      </c>
      <c r="E399" s="255">
        <v>2.7</v>
      </c>
      <c r="F399" s="411">
        <f>0.6*2.1</f>
        <v>1.26</v>
      </c>
      <c r="G399" s="411">
        <f>1*1</f>
        <v>1</v>
      </c>
      <c r="H399" s="256">
        <f t="shared" si="11"/>
        <v>10.970000000000002</v>
      </c>
      <c r="I399" s="398"/>
    </row>
    <row r="400" spans="1:9" ht="15.75">
      <c r="A400" s="395"/>
      <c r="B400" s="396"/>
      <c r="C400" s="396"/>
      <c r="D400" s="396"/>
      <c r="E400" s="396"/>
      <c r="F400" s="397"/>
      <c r="G400" s="257" t="s">
        <v>6</v>
      </c>
      <c r="H400" s="258">
        <f>SUM(H394:H399)</f>
        <v>202.62800000000004</v>
      </c>
      <c r="I400" s="398"/>
    </row>
    <row r="401" spans="1:9" ht="15.75">
      <c r="A401" s="372"/>
      <c r="B401" s="372"/>
      <c r="C401" s="372"/>
      <c r="D401" s="372"/>
      <c r="E401" s="372"/>
      <c r="F401" s="372"/>
      <c r="G401" s="372"/>
      <c r="H401" s="372"/>
      <c r="I401" s="398"/>
    </row>
    <row r="402" spans="1:9" ht="15.75">
      <c r="A402" s="344" t="s">
        <v>160</v>
      </c>
      <c r="B402" s="344"/>
      <c r="C402" s="344"/>
      <c r="D402" s="344"/>
      <c r="E402" s="344"/>
      <c r="F402" s="344"/>
      <c r="G402" s="344"/>
      <c r="H402" s="345"/>
      <c r="I402" s="398"/>
    </row>
    <row r="403" spans="1:9" ht="31.5">
      <c r="A403" s="364" t="s">
        <v>249</v>
      </c>
      <c r="B403" s="364"/>
      <c r="C403" s="364"/>
      <c r="D403" s="347" t="s">
        <v>330</v>
      </c>
      <c r="E403" s="365" t="s">
        <v>309</v>
      </c>
      <c r="F403" s="365" t="s">
        <v>401</v>
      </c>
      <c r="G403" s="365" t="s">
        <v>332</v>
      </c>
      <c r="H403" s="365" t="s">
        <v>402</v>
      </c>
      <c r="I403" s="398"/>
    </row>
    <row r="404" spans="1:9" ht="15.75">
      <c r="A404" s="366" t="s">
        <v>448</v>
      </c>
      <c r="B404" s="366"/>
      <c r="C404" s="366"/>
      <c r="D404" s="367">
        <f>2.1+2*0.1</f>
        <v>2.3000000000000003</v>
      </c>
      <c r="E404" s="367">
        <f>0.8+2*0.1</f>
        <v>1</v>
      </c>
      <c r="F404" s="367">
        <v>2</v>
      </c>
      <c r="G404" s="368">
        <v>1</v>
      </c>
      <c r="H404" s="368">
        <f>D404*E404*F404*G404</f>
        <v>4.6000000000000005</v>
      </c>
      <c r="I404" s="398"/>
    </row>
    <row r="405" spans="1:9" ht="15.75">
      <c r="A405" s="366" t="s">
        <v>463</v>
      </c>
      <c r="B405" s="366"/>
      <c r="C405" s="366"/>
      <c r="D405" s="367">
        <f>1+2*0.1</f>
        <v>1.2</v>
      </c>
      <c r="E405" s="367">
        <f>1.15+2*0.1</f>
        <v>1.3499999999999999</v>
      </c>
      <c r="F405" s="367">
        <v>2</v>
      </c>
      <c r="G405" s="368">
        <v>2</v>
      </c>
      <c r="H405" s="368">
        <f>D405*E405*F405*G405</f>
        <v>6.4799999999999995</v>
      </c>
      <c r="I405" s="398"/>
    </row>
    <row r="406" spans="1:9" ht="15.75">
      <c r="A406" s="366" t="s">
        <v>464</v>
      </c>
      <c r="B406" s="366"/>
      <c r="C406" s="366"/>
      <c r="D406" s="367">
        <f>1+2*0.1</f>
        <v>1.2</v>
      </c>
      <c r="E406" s="367">
        <f>1+2*0.1</f>
        <v>1.2</v>
      </c>
      <c r="F406" s="367">
        <v>2</v>
      </c>
      <c r="G406" s="368">
        <v>3</v>
      </c>
      <c r="H406" s="368">
        <f>D406*E406*F406*G406</f>
        <v>8.64</v>
      </c>
      <c r="I406" s="398"/>
    </row>
    <row r="407" spans="1:9" ht="15.75">
      <c r="A407" s="366" t="s">
        <v>465</v>
      </c>
      <c r="B407" s="366"/>
      <c r="C407" s="366"/>
      <c r="D407" s="367">
        <f>1+2*0.1</f>
        <v>1.2</v>
      </c>
      <c r="E407" s="367">
        <f>2+2*0.1</f>
        <v>2.2</v>
      </c>
      <c r="F407" s="367">
        <v>2</v>
      </c>
      <c r="G407" s="368">
        <v>1</v>
      </c>
      <c r="H407" s="368">
        <f>D407*E407*F407*G407</f>
        <v>5.28</v>
      </c>
      <c r="I407" s="398"/>
    </row>
    <row r="408" spans="1:9" ht="15.75">
      <c r="A408" s="395"/>
      <c r="B408" s="396"/>
      <c r="C408" s="396"/>
      <c r="D408" s="396"/>
      <c r="E408" s="396"/>
      <c r="F408" s="397"/>
      <c r="G408" s="354" t="s">
        <v>6</v>
      </c>
      <c r="H408" s="355">
        <f>SUM(H404:H407)</f>
        <v>25</v>
      </c>
      <c r="I408" s="398"/>
    </row>
    <row r="409" spans="1:9" ht="15.75">
      <c r="A409" s="304" t="s">
        <v>466</v>
      </c>
      <c r="B409" s="304"/>
      <c r="C409" s="304"/>
      <c r="D409" s="304"/>
      <c r="E409" s="304"/>
      <c r="F409" s="304"/>
      <c r="G409" s="304"/>
      <c r="H409" s="294"/>
      <c r="I409" s="398"/>
    </row>
    <row r="410" spans="1:9" ht="15.75">
      <c r="A410" s="412" t="s">
        <v>249</v>
      </c>
      <c r="B410" s="413"/>
      <c r="C410" s="413"/>
      <c r="D410" s="414"/>
      <c r="E410" s="272" t="s">
        <v>312</v>
      </c>
      <c r="F410" s="272" t="s">
        <v>313</v>
      </c>
      <c r="G410" s="252" t="s">
        <v>315</v>
      </c>
      <c r="H410" s="253" t="s">
        <v>251</v>
      </c>
      <c r="I410" s="398"/>
    </row>
    <row r="411" spans="1:9" ht="15.75">
      <c r="A411" s="415" t="s">
        <v>467</v>
      </c>
      <c r="B411" s="416"/>
      <c r="C411" s="416"/>
      <c r="D411" s="417"/>
      <c r="E411" s="290">
        <f>(0.8*2.1)*2</f>
        <v>3.3600000000000003</v>
      </c>
      <c r="F411" s="290">
        <f>(2.1*0.15)*2+(0.8*0.15)</f>
        <v>0.75</v>
      </c>
      <c r="G411" s="316">
        <v>1</v>
      </c>
      <c r="H411" s="287">
        <f>(E411+F411)*G411</f>
        <v>4.11</v>
      </c>
      <c r="I411" s="398"/>
    </row>
    <row r="412" spans="1:9" ht="15.75">
      <c r="A412" s="363"/>
      <c r="B412" s="363"/>
      <c r="C412" s="363"/>
      <c r="D412" s="363"/>
      <c r="E412" s="363"/>
      <c r="F412" s="418"/>
      <c r="G412" s="354" t="s">
        <v>6</v>
      </c>
      <c r="H412" s="355">
        <f>SUM(H411)</f>
        <v>4.11</v>
      </c>
      <c r="I412" s="398"/>
    </row>
    <row r="413" spans="1:9" ht="15.75">
      <c r="A413" s="372"/>
      <c r="B413" s="372"/>
      <c r="C413" s="372"/>
      <c r="D413" s="372"/>
      <c r="E413" s="372"/>
      <c r="F413" s="372"/>
      <c r="G413" s="372"/>
      <c r="H413" s="372"/>
      <c r="I413" s="398"/>
    </row>
    <row r="414" spans="1:9" s="239" customFormat="1" ht="15.75">
      <c r="A414" s="344" t="s">
        <v>413</v>
      </c>
      <c r="B414" s="344"/>
      <c r="C414" s="344"/>
      <c r="D414" s="344"/>
      <c r="E414" s="344"/>
      <c r="F414" s="344"/>
      <c r="G414" s="344"/>
      <c r="H414" s="345"/>
      <c r="I414" s="398"/>
    </row>
    <row r="415" spans="1:9" s="240" customFormat="1" ht="40.5" customHeight="1">
      <c r="A415" s="344" t="s">
        <v>249</v>
      </c>
      <c r="B415" s="344"/>
      <c r="C415" s="374" t="s">
        <v>18</v>
      </c>
      <c r="D415" s="374" t="s">
        <v>414</v>
      </c>
      <c r="E415" s="374" t="s">
        <v>415</v>
      </c>
      <c r="F415" s="374" t="s">
        <v>6</v>
      </c>
      <c r="G415" s="374" t="s">
        <v>416</v>
      </c>
      <c r="H415" s="345" t="s">
        <v>417</v>
      </c>
      <c r="I415" s="398"/>
    </row>
    <row r="416" spans="1:9" s="241" customFormat="1" ht="15.75">
      <c r="A416" s="360" t="s">
        <v>468</v>
      </c>
      <c r="B416" s="360"/>
      <c r="C416" s="375">
        <v>1</v>
      </c>
      <c r="D416" s="374"/>
      <c r="E416" s="374"/>
      <c r="F416" s="374"/>
      <c r="G416" s="374"/>
      <c r="H416" s="345"/>
      <c r="I416" s="398"/>
    </row>
    <row r="417" spans="1:9" s="241" customFormat="1" ht="15.75">
      <c r="A417" s="350" t="s">
        <v>468</v>
      </c>
      <c r="B417" s="350"/>
      <c r="C417" s="350"/>
      <c r="D417" s="375" t="s">
        <v>469</v>
      </c>
      <c r="E417" s="375">
        <f>0.8*2.1*0.05</f>
        <v>0.08400000000000002</v>
      </c>
      <c r="F417" s="377">
        <f>C416*E417</f>
        <v>0.08400000000000002</v>
      </c>
      <c r="G417" s="377">
        <v>600</v>
      </c>
      <c r="H417" s="368">
        <f aca="true" t="shared" si="12" ref="H417:H423">ROUND((F417*G417)/1000,2)</f>
        <v>0.05</v>
      </c>
      <c r="I417" s="398"/>
    </row>
    <row r="418" spans="1:9" s="241" customFormat="1" ht="15.75">
      <c r="A418" s="376"/>
      <c r="B418" s="376"/>
      <c r="C418" s="376"/>
      <c r="D418" s="376"/>
      <c r="E418" s="376"/>
      <c r="F418" s="376"/>
      <c r="G418" s="376"/>
      <c r="H418" s="376"/>
      <c r="I418" s="398"/>
    </row>
    <row r="419" spans="1:9" s="241" customFormat="1" ht="15.75">
      <c r="A419" s="360" t="s">
        <v>470</v>
      </c>
      <c r="B419" s="360"/>
      <c r="C419" s="351">
        <f>H389</f>
        <v>1.5065</v>
      </c>
      <c r="D419" s="366"/>
      <c r="E419" s="366"/>
      <c r="F419" s="366"/>
      <c r="G419" s="366"/>
      <c r="H419" s="368"/>
      <c r="I419" s="398"/>
    </row>
    <row r="420" spans="1:9" s="241" customFormat="1" ht="31.5">
      <c r="A420" s="350" t="s">
        <v>470</v>
      </c>
      <c r="B420" s="350"/>
      <c r="C420" s="350"/>
      <c r="D420" s="366" t="s">
        <v>471</v>
      </c>
      <c r="E420" s="366">
        <v>1</v>
      </c>
      <c r="F420" s="366">
        <f>E420*C419</f>
        <v>1.5065</v>
      </c>
      <c r="G420" s="366">
        <v>1.56</v>
      </c>
      <c r="H420" s="368">
        <f t="shared" si="12"/>
        <v>0</v>
      </c>
      <c r="I420" s="398"/>
    </row>
    <row r="421" spans="1:9" s="241" customFormat="1" ht="15.75">
      <c r="A421" s="376"/>
      <c r="B421" s="376"/>
      <c r="C421" s="376"/>
      <c r="D421" s="376"/>
      <c r="E421" s="376"/>
      <c r="F421" s="376"/>
      <c r="G421" s="376"/>
      <c r="H421" s="376"/>
      <c r="I421" s="398"/>
    </row>
    <row r="422" spans="1:9" s="241" customFormat="1" ht="15.75">
      <c r="A422" s="360" t="s">
        <v>472</v>
      </c>
      <c r="B422" s="360"/>
      <c r="C422" s="375">
        <f>H400</f>
        <v>202.62800000000004</v>
      </c>
      <c r="D422" s="374"/>
      <c r="E422" s="374"/>
      <c r="F422" s="374"/>
      <c r="G422" s="374"/>
      <c r="H422" s="368"/>
      <c r="I422" s="398"/>
    </row>
    <row r="423" spans="1:9" s="241" customFormat="1" ht="31.5">
      <c r="A423" s="350" t="s">
        <v>429</v>
      </c>
      <c r="B423" s="350"/>
      <c r="C423" s="350"/>
      <c r="D423" s="375" t="s">
        <v>430</v>
      </c>
      <c r="E423" s="375">
        <f>1*0.33</f>
        <v>0.33</v>
      </c>
      <c r="F423" s="377">
        <f>C422*E423</f>
        <v>66.86724000000002</v>
      </c>
      <c r="G423" s="377">
        <v>1.09</v>
      </c>
      <c r="H423" s="368">
        <f t="shared" si="12"/>
        <v>0.07</v>
      </c>
      <c r="I423" s="398"/>
    </row>
    <row r="424" spans="1:15" s="241" customFormat="1" ht="12" customHeight="1">
      <c r="A424" s="376"/>
      <c r="B424" s="376"/>
      <c r="C424" s="376"/>
      <c r="D424" s="376"/>
      <c r="E424" s="376"/>
      <c r="F424" s="376"/>
      <c r="G424" s="376"/>
      <c r="H424" s="376"/>
      <c r="I424" s="398"/>
      <c r="N424" s="241">
        <f>28/18</f>
        <v>1.5555555555555556</v>
      </c>
      <c r="O424" s="241" t="s">
        <v>431</v>
      </c>
    </row>
    <row r="425" spans="1:15" s="241" customFormat="1" ht="16.5" customHeight="1">
      <c r="A425" s="360" t="s">
        <v>432</v>
      </c>
      <c r="B425" s="360"/>
      <c r="C425" s="375">
        <f>H408</f>
        <v>25</v>
      </c>
      <c r="D425" s="345"/>
      <c r="E425" s="345"/>
      <c r="F425" s="345"/>
      <c r="G425" s="345"/>
      <c r="H425" s="345"/>
      <c r="I425" s="398"/>
      <c r="O425" s="241">
        <v>0.66</v>
      </c>
    </row>
    <row r="426" spans="1:9" s="241" customFormat="1" ht="31.5">
      <c r="A426" s="350" t="s">
        <v>433</v>
      </c>
      <c r="B426" s="350"/>
      <c r="C426" s="350"/>
      <c r="D426" s="375" t="s">
        <v>434</v>
      </c>
      <c r="E426" s="375">
        <v>0.2549</v>
      </c>
      <c r="F426" s="377">
        <f>$C$356*E426</f>
        <v>18.398682000000004</v>
      </c>
      <c r="G426" s="377">
        <v>1.09</v>
      </c>
      <c r="H426" s="368">
        <f>ROUND((F426*G426)/1000,2)</f>
        <v>0.02</v>
      </c>
      <c r="I426" s="398"/>
    </row>
    <row r="427" spans="1:9" s="241" customFormat="1" ht="12" customHeight="1">
      <c r="A427" s="376"/>
      <c r="B427" s="376"/>
      <c r="C427" s="376"/>
      <c r="D427" s="376"/>
      <c r="E427" s="376"/>
      <c r="F427" s="376"/>
      <c r="G427" s="376"/>
      <c r="H427" s="376"/>
      <c r="I427" s="398"/>
    </row>
    <row r="428" spans="1:9" s="241" customFormat="1" ht="16.5" customHeight="1">
      <c r="A428" s="360" t="s">
        <v>473</v>
      </c>
      <c r="B428" s="360"/>
      <c r="C428" s="366">
        <v>1</v>
      </c>
      <c r="D428" s="366"/>
      <c r="E428" s="366"/>
      <c r="F428" s="366"/>
      <c r="G428" s="366"/>
      <c r="H428" s="368"/>
      <c r="I428" s="398"/>
    </row>
    <row r="429" spans="1:9" s="241" customFormat="1" ht="16.5" customHeight="1">
      <c r="A429" s="350" t="s">
        <v>473</v>
      </c>
      <c r="B429" s="350"/>
      <c r="C429" s="350"/>
      <c r="D429" s="376" t="s">
        <v>474</v>
      </c>
      <c r="E429" s="376">
        <f>(0.5*0.3*0.02)*2+0.6*0.3*0.02</f>
        <v>0.009600000000000001</v>
      </c>
      <c r="F429" s="376">
        <f>C428*E429</f>
        <v>0.009600000000000001</v>
      </c>
      <c r="G429" s="376">
        <v>2400</v>
      </c>
      <c r="H429" s="368">
        <f>ROUND((F429*G429)/1000,2)</f>
        <v>0.02</v>
      </c>
      <c r="I429" s="398"/>
    </row>
    <row r="430" spans="1:9" s="241" customFormat="1" ht="16.5" customHeight="1">
      <c r="A430" s="376"/>
      <c r="B430" s="376"/>
      <c r="C430" s="376"/>
      <c r="D430" s="376"/>
      <c r="E430" s="376"/>
      <c r="F430" s="376"/>
      <c r="G430" s="376"/>
      <c r="H430" s="376"/>
      <c r="I430" s="398"/>
    </row>
    <row r="431" spans="1:9" s="239" customFormat="1" ht="15.75">
      <c r="A431" s="379"/>
      <c r="B431" s="379"/>
      <c r="C431" s="379"/>
      <c r="D431" s="379"/>
      <c r="E431" s="379"/>
      <c r="F431" s="379"/>
      <c r="G431" s="380" t="s">
        <v>6</v>
      </c>
      <c r="H431" s="381">
        <f>SUM(H417:H429)</f>
        <v>0.16</v>
      </c>
      <c r="I431" s="398"/>
    </row>
    <row r="432" spans="1:9" s="239" customFormat="1" ht="15.75">
      <c r="A432" s="382"/>
      <c r="B432" s="382"/>
      <c r="C432" s="382"/>
      <c r="D432" s="382"/>
      <c r="E432" s="382"/>
      <c r="F432" s="382"/>
      <c r="G432" s="378"/>
      <c r="H432" s="378"/>
      <c r="I432" s="398"/>
    </row>
    <row r="433" spans="1:9" s="239" customFormat="1" ht="15.75">
      <c r="A433" s="383"/>
      <c r="B433" s="383"/>
      <c r="C433" s="383"/>
      <c r="D433" s="383"/>
      <c r="E433" s="384" t="s">
        <v>475</v>
      </c>
      <c r="F433" s="385"/>
      <c r="G433" s="286">
        <v>30</v>
      </c>
      <c r="H433" s="287" t="s">
        <v>439</v>
      </c>
      <c r="I433" s="398"/>
    </row>
    <row r="434" spans="1:9" s="239" customFormat="1" ht="15.75">
      <c r="A434" s="363"/>
      <c r="B434" s="363"/>
      <c r="C434" s="363"/>
      <c r="D434" s="363"/>
      <c r="E434" s="363"/>
      <c r="F434" s="363"/>
      <c r="G434" s="363"/>
      <c r="H434" s="363"/>
      <c r="I434" s="398"/>
    </row>
    <row r="435" spans="1:9" s="239" customFormat="1" ht="15.75">
      <c r="A435" s="383"/>
      <c r="B435" s="383"/>
      <c r="C435" s="383"/>
      <c r="D435" s="383"/>
      <c r="E435" s="386" t="s">
        <v>442</v>
      </c>
      <c r="F435" s="386"/>
      <c r="G435" s="386"/>
      <c r="H435" s="287">
        <f>H431*G433</f>
        <v>4.8</v>
      </c>
      <c r="I435" s="398"/>
    </row>
    <row r="436" spans="1:9" ht="15.75">
      <c r="A436" s="372"/>
      <c r="B436" s="372"/>
      <c r="C436" s="372"/>
      <c r="D436" s="372"/>
      <c r="E436" s="372"/>
      <c r="F436" s="372"/>
      <c r="G436" s="372"/>
      <c r="H436" s="372"/>
      <c r="I436" s="398"/>
    </row>
    <row r="437" spans="1:9" s="242" customFormat="1" ht="15.75">
      <c r="A437" s="344" t="s">
        <v>444</v>
      </c>
      <c r="B437" s="344"/>
      <c r="C437" s="344"/>
      <c r="D437" s="344"/>
      <c r="E437" s="344"/>
      <c r="F437" s="344"/>
      <c r="G437" s="344"/>
      <c r="H437" s="345"/>
      <c r="I437" s="398"/>
    </row>
    <row r="438" spans="1:9" s="242" customFormat="1" ht="15.75">
      <c r="A438" s="390" t="s">
        <v>476</v>
      </c>
      <c r="B438" s="390"/>
      <c r="C438" s="390"/>
      <c r="D438" s="390"/>
      <c r="E438" s="390"/>
      <c r="F438" s="390"/>
      <c r="G438" s="390"/>
      <c r="H438" s="389"/>
      <c r="I438" s="398"/>
    </row>
    <row r="439" spans="1:9" s="242" customFormat="1" ht="15.75">
      <c r="A439" s="419"/>
      <c r="B439" s="419"/>
      <c r="C439" s="419"/>
      <c r="D439" s="419"/>
      <c r="E439" s="419"/>
      <c r="F439" s="419"/>
      <c r="G439" s="419"/>
      <c r="H439" s="391">
        <f>G433</f>
        <v>30</v>
      </c>
      <c r="I439" s="398"/>
    </row>
    <row r="440" spans="1:9" s="242" customFormat="1" ht="15.75">
      <c r="A440" s="390" t="s">
        <v>446</v>
      </c>
      <c r="B440" s="390"/>
      <c r="C440" s="390"/>
      <c r="D440" s="390"/>
      <c r="E440" s="390"/>
      <c r="F440" s="390"/>
      <c r="G440" s="390"/>
      <c r="H440" s="391">
        <v>10</v>
      </c>
      <c r="I440" s="398"/>
    </row>
    <row r="441" spans="1:9" s="242" customFormat="1" ht="15.75">
      <c r="A441" s="392"/>
      <c r="B441" s="392"/>
      <c r="C441" s="392"/>
      <c r="D441" s="392"/>
      <c r="E441" s="392"/>
      <c r="F441" s="392"/>
      <c r="G441" s="392"/>
      <c r="H441" s="392"/>
      <c r="I441" s="398"/>
    </row>
    <row r="442" spans="1:9" s="242" customFormat="1" ht="15.75">
      <c r="A442" s="390" t="s">
        <v>447</v>
      </c>
      <c r="B442" s="390"/>
      <c r="C442" s="390"/>
      <c r="D442" s="390"/>
      <c r="E442" s="390"/>
      <c r="F442" s="390"/>
      <c r="G442" s="390"/>
      <c r="H442" s="391">
        <f>(H439/H440)*2</f>
        <v>6</v>
      </c>
      <c r="I442" s="398"/>
    </row>
    <row r="443" spans="1:9" s="242" customFormat="1" ht="15.75">
      <c r="A443" s="387"/>
      <c r="B443" s="387"/>
      <c r="C443" s="387"/>
      <c r="D443" s="387"/>
      <c r="E443" s="387"/>
      <c r="F443" s="387"/>
      <c r="G443" s="388"/>
      <c r="H443" s="389"/>
      <c r="I443" s="398"/>
    </row>
    <row r="444" spans="1:9" ht="15.75">
      <c r="A444" s="376"/>
      <c r="B444" s="376"/>
      <c r="C444" s="376"/>
      <c r="D444" s="376"/>
      <c r="E444" s="376"/>
      <c r="F444" s="376"/>
      <c r="G444" s="376"/>
      <c r="H444" s="376"/>
      <c r="I444" s="398"/>
    </row>
    <row r="445" spans="1:8" ht="15.75">
      <c r="A445" s="244" t="s">
        <v>203</v>
      </c>
      <c r="B445" s="244"/>
      <c r="C445" s="244"/>
      <c r="D445" s="244"/>
      <c r="E445" s="244"/>
      <c r="F445" s="244"/>
      <c r="G445" s="244"/>
      <c r="H445" s="244"/>
    </row>
    <row r="446" spans="1:8" ht="15.75">
      <c r="A446" s="372"/>
      <c r="B446" s="372"/>
      <c r="C446" s="372"/>
      <c r="D446" s="372"/>
      <c r="E446" s="372"/>
      <c r="F446" s="372"/>
      <c r="G446" s="372"/>
      <c r="H446" s="372"/>
    </row>
    <row r="447" spans="1:8" ht="15.75">
      <c r="A447" s="344" t="s">
        <v>477</v>
      </c>
      <c r="B447" s="344"/>
      <c r="C447" s="344"/>
      <c r="D447" s="344"/>
      <c r="E447" s="344"/>
      <c r="F447" s="344"/>
      <c r="G447" s="344"/>
      <c r="H447" s="345"/>
    </row>
    <row r="448" spans="1:8" ht="31.5">
      <c r="A448" s="346" t="s">
        <v>249</v>
      </c>
      <c r="B448" s="346"/>
      <c r="C448" s="346"/>
      <c r="D448" s="346"/>
      <c r="E448" s="347" t="s">
        <v>330</v>
      </c>
      <c r="F448" s="365" t="s">
        <v>309</v>
      </c>
      <c r="G448" s="365" t="s">
        <v>332</v>
      </c>
      <c r="H448" s="365" t="s">
        <v>402</v>
      </c>
    </row>
    <row r="449" spans="1:8" ht="15.75">
      <c r="A449" s="350" t="s">
        <v>478</v>
      </c>
      <c r="B449" s="350"/>
      <c r="C449" s="350"/>
      <c r="D449" s="350"/>
      <c r="E449" s="367">
        <v>2.1</v>
      </c>
      <c r="F449" s="367">
        <v>1.6</v>
      </c>
      <c r="G449" s="368">
        <v>1</v>
      </c>
      <c r="H449" s="368">
        <f>E449*F449*G449</f>
        <v>3.3600000000000003</v>
      </c>
    </row>
    <row r="450" spans="1:8" ht="15.75">
      <c r="A450" s="350" t="s">
        <v>479</v>
      </c>
      <c r="B450" s="350"/>
      <c r="C450" s="350"/>
      <c r="D450" s="350"/>
      <c r="E450" s="367">
        <v>2.1</v>
      </c>
      <c r="F450" s="367">
        <v>0.8</v>
      </c>
      <c r="G450" s="368">
        <v>2</v>
      </c>
      <c r="H450" s="368">
        <f>E450*F450*G450</f>
        <v>3.3600000000000003</v>
      </c>
    </row>
    <row r="451" spans="1:8" ht="15.75">
      <c r="A451" s="395"/>
      <c r="B451" s="396"/>
      <c r="C451" s="396"/>
      <c r="D451" s="396"/>
      <c r="E451" s="396"/>
      <c r="F451" s="397"/>
      <c r="G451" s="354" t="s">
        <v>6</v>
      </c>
      <c r="H451" s="355">
        <f>SUM(H448:I449)</f>
        <v>3.3600000000000003</v>
      </c>
    </row>
    <row r="452" spans="1:8" ht="15.75">
      <c r="A452" s="372"/>
      <c r="B452" s="372"/>
      <c r="C452" s="372"/>
      <c r="D452" s="372"/>
      <c r="E452" s="372"/>
      <c r="F452" s="372"/>
      <c r="G452" s="372"/>
      <c r="H452" s="372"/>
    </row>
    <row r="453" spans="1:8" ht="15.75">
      <c r="A453" s="344" t="s">
        <v>480</v>
      </c>
      <c r="B453" s="344"/>
      <c r="C453" s="344"/>
      <c r="D453" s="344"/>
      <c r="E453" s="344"/>
      <c r="F453" s="344"/>
      <c r="G453" s="344"/>
      <c r="H453" s="345"/>
    </row>
    <row r="454" spans="1:8" ht="31.5">
      <c r="A454" s="346" t="s">
        <v>249</v>
      </c>
      <c r="B454" s="346"/>
      <c r="C454" s="346"/>
      <c r="D454" s="346"/>
      <c r="E454" s="347" t="s">
        <v>330</v>
      </c>
      <c r="F454" s="365" t="s">
        <v>309</v>
      </c>
      <c r="G454" s="365" t="s">
        <v>332</v>
      </c>
      <c r="H454" s="365" t="s">
        <v>402</v>
      </c>
    </row>
    <row r="455" spans="1:8" ht="15.75">
      <c r="A455" s="350" t="s">
        <v>481</v>
      </c>
      <c r="B455" s="350"/>
      <c r="C455" s="350"/>
      <c r="D455" s="350"/>
      <c r="E455" s="367">
        <v>2.1</v>
      </c>
      <c r="F455" s="367">
        <v>0.8</v>
      </c>
      <c r="G455" s="368">
        <v>2</v>
      </c>
      <c r="H455" s="368">
        <f>E455*F455*G455</f>
        <v>3.3600000000000003</v>
      </c>
    </row>
    <row r="456" spans="1:8" ht="15.75">
      <c r="A456" s="350" t="s">
        <v>482</v>
      </c>
      <c r="B456" s="350"/>
      <c r="C456" s="350"/>
      <c r="D456" s="350"/>
      <c r="E456" s="420">
        <v>2.1</v>
      </c>
      <c r="F456" s="367">
        <v>1.6</v>
      </c>
      <c r="G456" s="368">
        <v>1</v>
      </c>
      <c r="H456" s="368">
        <f>E456*F456*G456</f>
        <v>3.3600000000000003</v>
      </c>
    </row>
    <row r="457" spans="1:8" ht="15.75">
      <c r="A457" s="395"/>
      <c r="B457" s="396"/>
      <c r="C457" s="396"/>
      <c r="D457" s="396"/>
      <c r="E457" s="396"/>
      <c r="F457" s="397"/>
      <c r="G457" s="354" t="s">
        <v>6</v>
      </c>
      <c r="H457" s="355">
        <f>SUM(H455:H456)</f>
        <v>6.720000000000001</v>
      </c>
    </row>
    <row r="458" spans="1:8" ht="15.75">
      <c r="A458" s="372"/>
      <c r="B458" s="372"/>
      <c r="C458" s="372"/>
      <c r="D458" s="372"/>
      <c r="E458" s="372"/>
      <c r="F458" s="372"/>
      <c r="G458" s="372"/>
      <c r="H458" s="372"/>
    </row>
    <row r="459" spans="1:8" ht="15.75">
      <c r="A459" s="344" t="s">
        <v>208</v>
      </c>
      <c r="B459" s="344"/>
      <c r="C459" s="344"/>
      <c r="D459" s="344"/>
      <c r="E459" s="344"/>
      <c r="F459" s="344"/>
      <c r="G459" s="344"/>
      <c r="H459" s="345"/>
    </row>
    <row r="460" spans="1:8" s="183" customFormat="1" ht="17.25" customHeight="1">
      <c r="A460" s="346" t="s">
        <v>249</v>
      </c>
      <c r="B460" s="346"/>
      <c r="C460" s="346"/>
      <c r="D460" s="346"/>
      <c r="E460" s="346"/>
      <c r="F460" s="347" t="s">
        <v>330</v>
      </c>
      <c r="G460" s="365" t="s">
        <v>309</v>
      </c>
      <c r="H460" s="365" t="s">
        <v>402</v>
      </c>
    </row>
    <row r="461" spans="1:8" ht="15.75">
      <c r="A461" s="350" t="s">
        <v>483</v>
      </c>
      <c r="B461" s="350"/>
      <c r="C461" s="350"/>
      <c r="D461" s="350"/>
      <c r="E461" s="350"/>
      <c r="F461" s="367">
        <v>1</v>
      </c>
      <c r="G461" s="367">
        <v>3.16</v>
      </c>
      <c r="H461" s="368">
        <f>F461*G461</f>
        <v>3.16</v>
      </c>
    </row>
    <row r="462" spans="1:8" ht="15.75">
      <c r="A462" s="395"/>
      <c r="B462" s="396"/>
      <c r="C462" s="396"/>
      <c r="D462" s="396"/>
      <c r="E462" s="396"/>
      <c r="F462" s="397"/>
      <c r="G462" s="354" t="s">
        <v>6</v>
      </c>
      <c r="H462" s="355">
        <f>SUM(H461:H461)</f>
        <v>3.16</v>
      </c>
    </row>
    <row r="463" spans="1:8" ht="15.75">
      <c r="A463" s="372"/>
      <c r="B463" s="372"/>
      <c r="C463" s="372"/>
      <c r="D463" s="372"/>
      <c r="E463" s="372"/>
      <c r="F463" s="372"/>
      <c r="G463" s="372"/>
      <c r="H463" s="372"/>
    </row>
    <row r="464" spans="1:8" ht="15.75">
      <c r="A464" s="344" t="s">
        <v>38</v>
      </c>
      <c r="B464" s="344"/>
      <c r="C464" s="344"/>
      <c r="D464" s="344"/>
      <c r="E464" s="344"/>
      <c r="F464" s="344"/>
      <c r="G464" s="344"/>
      <c r="H464" s="345"/>
    </row>
    <row r="465" spans="1:8" ht="15.75">
      <c r="A465" s="372"/>
      <c r="B465" s="372"/>
      <c r="C465" s="372"/>
      <c r="D465" s="372"/>
      <c r="E465" s="372"/>
      <c r="F465" s="372"/>
      <c r="G465" s="372"/>
      <c r="H465" s="372"/>
    </row>
    <row r="466" spans="1:8" s="183" customFormat="1" ht="15.75">
      <c r="A466" s="344" t="s">
        <v>484</v>
      </c>
      <c r="B466" s="344"/>
      <c r="C466" s="344"/>
      <c r="D466" s="344"/>
      <c r="E466" s="344"/>
      <c r="F466" s="344"/>
      <c r="G466" s="344"/>
      <c r="H466" s="345"/>
    </row>
    <row r="467" spans="1:8" ht="31.5">
      <c r="A467" s="346" t="s">
        <v>249</v>
      </c>
      <c r="B467" s="346"/>
      <c r="C467" s="346"/>
      <c r="D467" s="346"/>
      <c r="E467" s="346"/>
      <c r="F467" s="347" t="s">
        <v>402</v>
      </c>
      <c r="G467" s="365" t="s">
        <v>332</v>
      </c>
      <c r="H467" s="365" t="s">
        <v>251</v>
      </c>
    </row>
    <row r="468" spans="1:8" ht="15.75">
      <c r="A468" s="350" t="s">
        <v>485</v>
      </c>
      <c r="B468" s="350"/>
      <c r="C468" s="350"/>
      <c r="D468" s="350"/>
      <c r="E468" s="350"/>
      <c r="F468" s="351">
        <f>((2.1+0.1)*0.1+0.8*0.1)*2</f>
        <v>0.6000000000000001</v>
      </c>
      <c r="G468" s="351">
        <v>2</v>
      </c>
      <c r="H468" s="368">
        <f>F468*G468</f>
        <v>1.2000000000000002</v>
      </c>
    </row>
    <row r="469" spans="1:8" ht="15.75">
      <c r="A469" s="350" t="s">
        <v>486</v>
      </c>
      <c r="B469" s="350"/>
      <c r="C469" s="350"/>
      <c r="D469" s="350"/>
      <c r="E469" s="350"/>
      <c r="F469" s="351">
        <f>((2.1+0.1)*0.1+1.6*0.1)*2</f>
        <v>0.7600000000000001</v>
      </c>
      <c r="G469" s="351">
        <v>1</v>
      </c>
      <c r="H469" s="368">
        <f>F469*G469</f>
        <v>0.7600000000000001</v>
      </c>
    </row>
    <row r="470" spans="1:8" ht="15.75">
      <c r="A470" s="395"/>
      <c r="B470" s="396"/>
      <c r="C470" s="396"/>
      <c r="D470" s="396"/>
      <c r="E470" s="396"/>
      <c r="F470" s="397"/>
      <c r="G470" s="354" t="s">
        <v>6</v>
      </c>
      <c r="H470" s="355">
        <f>SUM(H468:H469)</f>
        <v>1.9600000000000004</v>
      </c>
    </row>
    <row r="471" spans="1:8" ht="15.75">
      <c r="A471" s="372"/>
      <c r="B471" s="372"/>
      <c r="C471" s="372"/>
      <c r="D471" s="372"/>
      <c r="E471" s="372"/>
      <c r="F471" s="372"/>
      <c r="G471" s="372"/>
      <c r="H471" s="372"/>
    </row>
    <row r="472" spans="1:8" ht="15.75">
      <c r="A472" s="344" t="s">
        <v>160</v>
      </c>
      <c r="B472" s="344"/>
      <c r="C472" s="344"/>
      <c r="D472" s="344"/>
      <c r="E472" s="344"/>
      <c r="F472" s="344"/>
      <c r="G472" s="344"/>
      <c r="H472" s="345"/>
    </row>
    <row r="473" spans="1:8" ht="31.5">
      <c r="A473" s="337" t="s">
        <v>249</v>
      </c>
      <c r="B473" s="338"/>
      <c r="C473" s="339"/>
      <c r="D473" s="347" t="s">
        <v>330</v>
      </c>
      <c r="E473" s="365" t="s">
        <v>309</v>
      </c>
      <c r="F473" s="365" t="s">
        <v>401</v>
      </c>
      <c r="G473" s="365" t="s">
        <v>332</v>
      </c>
      <c r="H473" s="365" t="s">
        <v>402</v>
      </c>
    </row>
    <row r="474" spans="1:8" ht="15.75">
      <c r="A474" s="369" t="s">
        <v>403</v>
      </c>
      <c r="B474" s="370"/>
      <c r="C474" s="371"/>
      <c r="D474" s="361">
        <v>0.3</v>
      </c>
      <c r="E474" s="361">
        <v>1</v>
      </c>
      <c r="F474" s="351">
        <v>2</v>
      </c>
      <c r="G474" s="351">
        <v>6</v>
      </c>
      <c r="H474" s="368">
        <f>D474*E474*F474*G474</f>
        <v>3.5999999999999996</v>
      </c>
    </row>
    <row r="475" spans="1:8" ht="15.75">
      <c r="A475" s="369" t="s">
        <v>404</v>
      </c>
      <c r="B475" s="370"/>
      <c r="C475" s="371"/>
      <c r="D475" s="361">
        <v>1.15</v>
      </c>
      <c r="E475" s="361">
        <v>1.5</v>
      </c>
      <c r="F475" s="351">
        <v>2</v>
      </c>
      <c r="G475" s="351">
        <v>5</v>
      </c>
      <c r="H475" s="368">
        <f>D475*E475*F475*G475</f>
        <v>17.25</v>
      </c>
    </row>
    <row r="476" spans="1:8" ht="15.75">
      <c r="A476" s="369" t="s">
        <v>405</v>
      </c>
      <c r="B476" s="370"/>
      <c r="C476" s="371"/>
      <c r="D476" s="361">
        <v>1.15</v>
      </c>
      <c r="E476" s="361">
        <v>2</v>
      </c>
      <c r="F476" s="351">
        <v>2</v>
      </c>
      <c r="G476" s="351">
        <v>6</v>
      </c>
      <c r="H476" s="368">
        <f>D476*E476*F476*G476</f>
        <v>27.599999999999998</v>
      </c>
    </row>
    <row r="477" spans="1:8" ht="15.75">
      <c r="A477" s="369" t="s">
        <v>279</v>
      </c>
      <c r="B477" s="370"/>
      <c r="C477" s="371"/>
      <c r="D477" s="361">
        <v>1.6</v>
      </c>
      <c r="E477" s="361">
        <v>2.1</v>
      </c>
      <c r="F477" s="351">
        <v>2</v>
      </c>
      <c r="G477" s="361">
        <v>1</v>
      </c>
      <c r="H477" s="368">
        <f>D477*E477*F477*G477</f>
        <v>6.720000000000001</v>
      </c>
    </row>
    <row r="478" spans="1:8" ht="15.75">
      <c r="A478" s="395"/>
      <c r="B478" s="396"/>
      <c r="C478" s="396"/>
      <c r="D478" s="396"/>
      <c r="E478" s="396"/>
      <c r="F478" s="397"/>
      <c r="G478" s="354" t="s">
        <v>6</v>
      </c>
      <c r="H478" s="355">
        <f>SUM(H474:H477)</f>
        <v>55.17</v>
      </c>
    </row>
    <row r="479" spans="1:8" ht="15.75">
      <c r="A479" s="372"/>
      <c r="B479" s="372"/>
      <c r="C479" s="372"/>
      <c r="D479" s="372"/>
      <c r="E479" s="372"/>
      <c r="F479" s="372"/>
      <c r="G479" s="372"/>
      <c r="H479" s="372"/>
    </row>
    <row r="480" spans="1:8" ht="15.75">
      <c r="A480" s="344" t="s">
        <v>164</v>
      </c>
      <c r="B480" s="344"/>
      <c r="C480" s="344"/>
      <c r="D480" s="344"/>
      <c r="E480" s="344"/>
      <c r="F480" s="344"/>
      <c r="G480" s="344"/>
      <c r="H480" s="345"/>
    </row>
    <row r="481" spans="1:8" ht="31.5">
      <c r="A481" s="421" t="s">
        <v>249</v>
      </c>
      <c r="B481" s="422"/>
      <c r="C481" s="422"/>
      <c r="D481" s="423"/>
      <c r="E481" s="347" t="s">
        <v>330</v>
      </c>
      <c r="F481" s="365" t="s">
        <v>309</v>
      </c>
      <c r="G481" s="365" t="s">
        <v>332</v>
      </c>
      <c r="H481" s="365" t="s">
        <v>402</v>
      </c>
    </row>
    <row r="482" spans="1:8" ht="15.75">
      <c r="A482" s="424" t="s">
        <v>487</v>
      </c>
      <c r="B482" s="425"/>
      <c r="C482" s="425"/>
      <c r="D482" s="426"/>
      <c r="E482" s="367">
        <v>4.5</v>
      </c>
      <c r="F482" s="367">
        <f>65/1000</f>
        <v>0.065</v>
      </c>
      <c r="G482" s="368">
        <v>1</v>
      </c>
      <c r="H482" s="368">
        <f>E482*F482*G482</f>
        <v>0.2925</v>
      </c>
    </row>
    <row r="483" spans="1:8" ht="15.75">
      <c r="A483" s="424" t="s">
        <v>488</v>
      </c>
      <c r="B483" s="425"/>
      <c r="C483" s="425"/>
      <c r="D483" s="426"/>
      <c r="E483" s="367">
        <v>4</v>
      </c>
      <c r="F483" s="367">
        <f>65/1000</f>
        <v>0.065</v>
      </c>
      <c r="G483" s="368">
        <v>2</v>
      </c>
      <c r="H483" s="368">
        <f>E483*F483*G483</f>
        <v>0.52</v>
      </c>
    </row>
    <row r="484" spans="1:8" ht="15.75">
      <c r="A484" s="395"/>
      <c r="B484" s="396"/>
      <c r="C484" s="396"/>
      <c r="D484" s="396"/>
      <c r="E484" s="396"/>
      <c r="F484" s="397"/>
      <c r="G484" s="354" t="s">
        <v>6</v>
      </c>
      <c r="H484" s="355">
        <f>SUM(H482:H483)</f>
        <v>0.8125</v>
      </c>
    </row>
    <row r="485" spans="1:8" ht="15.75">
      <c r="A485" s="372"/>
      <c r="B485" s="372"/>
      <c r="C485" s="372"/>
      <c r="D485" s="372"/>
      <c r="E485" s="372"/>
      <c r="F485" s="372"/>
      <c r="G485" s="372"/>
      <c r="H485" s="372"/>
    </row>
    <row r="486" spans="1:8" ht="15.75">
      <c r="A486" s="344" t="s">
        <v>173</v>
      </c>
      <c r="B486" s="344"/>
      <c r="C486" s="344"/>
      <c r="D486" s="344"/>
      <c r="E486" s="344"/>
      <c r="F486" s="344"/>
      <c r="G486" s="344"/>
      <c r="H486" s="345"/>
    </row>
    <row r="487" spans="1:8" ht="31.5">
      <c r="A487" s="337" t="s">
        <v>249</v>
      </c>
      <c r="B487" s="338"/>
      <c r="C487" s="338"/>
      <c r="D487" s="338"/>
      <c r="E487" s="339"/>
      <c r="F487" s="365" t="s">
        <v>410</v>
      </c>
      <c r="G487" s="365" t="s">
        <v>332</v>
      </c>
      <c r="H487" s="365" t="s">
        <v>411</v>
      </c>
    </row>
    <row r="488" spans="1:8" ht="15.75">
      <c r="A488" s="369" t="s">
        <v>412</v>
      </c>
      <c r="B488" s="370"/>
      <c r="C488" s="370"/>
      <c r="D488" s="370"/>
      <c r="E488" s="371"/>
      <c r="F488" s="367">
        <v>0.9</v>
      </c>
      <c r="G488" s="368">
        <v>6</v>
      </c>
      <c r="H488" s="368">
        <f>F488*G488</f>
        <v>5.4</v>
      </c>
    </row>
    <row r="489" spans="1:8" ht="15.75">
      <c r="A489" s="395"/>
      <c r="B489" s="396"/>
      <c r="C489" s="396"/>
      <c r="D489" s="396"/>
      <c r="E489" s="396"/>
      <c r="F489" s="397"/>
      <c r="G489" s="354" t="s">
        <v>6</v>
      </c>
      <c r="H489" s="355">
        <f>SUM(H487:H488)</f>
        <v>5.4</v>
      </c>
    </row>
    <row r="490" spans="1:8" ht="15.75">
      <c r="A490" s="363"/>
      <c r="B490" s="363"/>
      <c r="C490" s="363"/>
      <c r="D490" s="363"/>
      <c r="E490" s="363"/>
      <c r="F490" s="363"/>
      <c r="G490" s="427"/>
      <c r="H490" s="428"/>
    </row>
    <row r="491" spans="1:8" ht="15.75">
      <c r="A491" s="344" t="s">
        <v>413</v>
      </c>
      <c r="B491" s="344"/>
      <c r="C491" s="344"/>
      <c r="D491" s="344"/>
      <c r="E491" s="344"/>
      <c r="F491" s="344"/>
      <c r="G491" s="344"/>
      <c r="H491" s="345"/>
    </row>
    <row r="492" spans="1:8" ht="47.25">
      <c r="A492" s="344" t="s">
        <v>249</v>
      </c>
      <c r="B492" s="344"/>
      <c r="C492" s="374" t="s">
        <v>18</v>
      </c>
      <c r="D492" s="374" t="s">
        <v>414</v>
      </c>
      <c r="E492" s="374" t="s">
        <v>415</v>
      </c>
      <c r="F492" s="374" t="s">
        <v>6</v>
      </c>
      <c r="G492" s="374" t="s">
        <v>416</v>
      </c>
      <c r="H492" s="345" t="s">
        <v>417</v>
      </c>
    </row>
    <row r="493" spans="1:8" ht="15.75">
      <c r="A493" s="360" t="s">
        <v>489</v>
      </c>
      <c r="B493" s="360"/>
      <c r="C493" s="375">
        <v>2</v>
      </c>
      <c r="D493" s="374"/>
      <c r="E493" s="374"/>
      <c r="F493" s="374"/>
      <c r="G493" s="374"/>
      <c r="H493" s="345"/>
    </row>
    <row r="494" spans="1:8" ht="15.75">
      <c r="A494" s="350" t="s">
        <v>490</v>
      </c>
      <c r="B494" s="350"/>
      <c r="C494" s="350"/>
      <c r="D494" s="375" t="s">
        <v>491</v>
      </c>
      <c r="E494" s="375">
        <f>0.8*2.1*0.005</f>
        <v>0.008400000000000001</v>
      </c>
      <c r="F494" s="377">
        <f>C493*E494</f>
        <v>0.016800000000000002</v>
      </c>
      <c r="G494" s="377">
        <v>7800</v>
      </c>
      <c r="H494" s="368">
        <f>ROUND((F494*G494)/1000,2)</f>
        <v>0.13</v>
      </c>
    </row>
    <row r="495" spans="1:8" ht="15.75">
      <c r="A495" s="360" t="s">
        <v>492</v>
      </c>
      <c r="B495" s="360"/>
      <c r="C495" s="375">
        <v>1</v>
      </c>
      <c r="D495" s="374"/>
      <c r="E495" s="374"/>
      <c r="F495" s="377"/>
      <c r="G495" s="374"/>
      <c r="H495" s="368"/>
    </row>
    <row r="496" spans="1:8" ht="15.75">
      <c r="A496" s="350" t="s">
        <v>493</v>
      </c>
      <c r="B496" s="350"/>
      <c r="C496" s="350"/>
      <c r="D496" s="375" t="s">
        <v>491</v>
      </c>
      <c r="E496" s="375">
        <f>1.6*2.1*0.005</f>
        <v>0.016800000000000002</v>
      </c>
      <c r="F496" s="377">
        <f>C495*E496</f>
        <v>0.016800000000000002</v>
      </c>
      <c r="G496" s="377">
        <v>7800</v>
      </c>
      <c r="H496" s="368">
        <f>ROUND((F496*G496)/1000,2)</f>
        <v>0.13</v>
      </c>
    </row>
    <row r="497" spans="1:8" ht="15.75">
      <c r="A497" s="376"/>
      <c r="B497" s="376"/>
      <c r="C497" s="376"/>
      <c r="D497" s="376"/>
      <c r="E497" s="376"/>
      <c r="F497" s="376"/>
      <c r="G497" s="376"/>
      <c r="H497" s="376"/>
    </row>
    <row r="498" spans="1:8" ht="15.75">
      <c r="A498" s="360" t="s">
        <v>432</v>
      </c>
      <c r="B498" s="360"/>
      <c r="C498" s="375">
        <f>H478+H484</f>
        <v>55.9825</v>
      </c>
      <c r="D498" s="345"/>
      <c r="E498" s="345"/>
      <c r="F498" s="345"/>
      <c r="G498" s="345"/>
      <c r="H498" s="345"/>
    </row>
    <row r="499" spans="1:8" ht="31.5">
      <c r="A499" s="350" t="s">
        <v>433</v>
      </c>
      <c r="B499" s="350"/>
      <c r="C499" s="350"/>
      <c r="D499" s="375" t="s">
        <v>434</v>
      </c>
      <c r="E499" s="375">
        <v>0.2549</v>
      </c>
      <c r="F499" s="377">
        <f>$C$356*E499</f>
        <v>18.398682000000004</v>
      </c>
      <c r="G499" s="377">
        <v>1.09</v>
      </c>
      <c r="H499" s="368">
        <f>ROUND((F499*G499)/1000,2)</f>
        <v>0.02</v>
      </c>
    </row>
    <row r="500" spans="1:8" ht="15.75">
      <c r="A500" s="376"/>
      <c r="B500" s="376"/>
      <c r="C500" s="376"/>
      <c r="D500" s="376"/>
      <c r="E500" s="376"/>
      <c r="F500" s="376"/>
      <c r="G500" s="376"/>
      <c r="H500" s="376"/>
    </row>
    <row r="501" spans="1:8" ht="15.75">
      <c r="A501" s="379"/>
      <c r="B501" s="379"/>
      <c r="C501" s="379"/>
      <c r="D501" s="379"/>
      <c r="E501" s="379"/>
      <c r="F501" s="379"/>
      <c r="G501" s="380" t="s">
        <v>6</v>
      </c>
      <c r="H501" s="381">
        <f>SUM(H494:H500)</f>
        <v>0.28</v>
      </c>
    </row>
    <row r="502" spans="1:8" ht="15.75">
      <c r="A502" s="382"/>
      <c r="B502" s="382"/>
      <c r="C502" s="382"/>
      <c r="D502" s="382"/>
      <c r="E502" s="382"/>
      <c r="F502" s="382"/>
      <c r="G502" s="378"/>
      <c r="H502" s="378"/>
    </row>
    <row r="503" spans="1:8" ht="15.75">
      <c r="A503" s="383"/>
      <c r="B503" s="383"/>
      <c r="C503" s="383"/>
      <c r="D503" s="383"/>
      <c r="E503" s="384" t="s">
        <v>494</v>
      </c>
      <c r="F503" s="385"/>
      <c r="G503" s="286">
        <v>124</v>
      </c>
      <c r="H503" s="287" t="s">
        <v>439</v>
      </c>
    </row>
    <row r="504" spans="1:8" ht="15.75">
      <c r="A504" s="363"/>
      <c r="B504" s="363"/>
      <c r="C504" s="363"/>
      <c r="D504" s="363"/>
      <c r="E504" s="363"/>
      <c r="F504" s="363"/>
      <c r="G504" s="363"/>
      <c r="H504" s="363"/>
    </row>
    <row r="505" spans="1:8" ht="15.75">
      <c r="A505" s="383"/>
      <c r="B505" s="383"/>
      <c r="C505" s="383"/>
      <c r="D505" s="383"/>
      <c r="E505" s="386" t="s">
        <v>442</v>
      </c>
      <c r="F505" s="386"/>
      <c r="G505" s="386"/>
      <c r="H505" s="287">
        <f>H501*G503</f>
        <v>34.720000000000006</v>
      </c>
    </row>
    <row r="506" spans="1:8" ht="15.75">
      <c r="A506" s="383"/>
      <c r="B506" s="383"/>
      <c r="C506" s="383"/>
      <c r="D506" s="383"/>
      <c r="E506" s="386" t="s">
        <v>443</v>
      </c>
      <c r="F506" s="386"/>
      <c r="G506" s="386"/>
      <c r="H506" s="287">
        <f>H501*(G503-30)</f>
        <v>26.320000000000004</v>
      </c>
    </row>
    <row r="507" spans="1:8" ht="15.75">
      <c r="A507" s="372"/>
      <c r="B507" s="372"/>
      <c r="C507" s="372"/>
      <c r="D507" s="372"/>
      <c r="E507" s="372"/>
      <c r="F507" s="372"/>
      <c r="G507" s="372"/>
      <c r="H507" s="372"/>
    </row>
    <row r="508" spans="1:8" ht="15.75">
      <c r="A508" s="344" t="s">
        <v>444</v>
      </c>
      <c r="B508" s="344"/>
      <c r="C508" s="344"/>
      <c r="D508" s="344"/>
      <c r="E508" s="344"/>
      <c r="F508" s="344"/>
      <c r="G508" s="344"/>
      <c r="H508" s="345"/>
    </row>
    <row r="509" spans="1:8" ht="15.75">
      <c r="A509" s="390" t="s">
        <v>495</v>
      </c>
      <c r="B509" s="390"/>
      <c r="C509" s="390"/>
      <c r="D509" s="390"/>
      <c r="E509" s="390"/>
      <c r="F509" s="390"/>
      <c r="G509" s="390"/>
      <c r="H509" s="391">
        <f>G503</f>
        <v>124</v>
      </c>
    </row>
    <row r="510" spans="1:7" ht="15">
      <c r="A510" s="419"/>
      <c r="B510" s="419"/>
      <c r="C510" s="419"/>
      <c r="D510" s="419"/>
      <c r="E510" s="419"/>
      <c r="F510" s="419"/>
      <c r="G510" s="419"/>
    </row>
    <row r="511" spans="1:8" ht="15.75">
      <c r="A511" s="390" t="s">
        <v>496</v>
      </c>
      <c r="B511" s="390"/>
      <c r="C511" s="390"/>
      <c r="D511" s="390"/>
      <c r="E511" s="390"/>
      <c r="F511" s="390"/>
      <c r="G511" s="390"/>
      <c r="H511" s="391">
        <v>10</v>
      </c>
    </row>
    <row r="512" spans="1:8" ht="15.75">
      <c r="A512" s="392"/>
      <c r="B512" s="392"/>
      <c r="C512" s="392"/>
      <c r="D512" s="392"/>
      <c r="E512" s="392"/>
      <c r="F512" s="392"/>
      <c r="G512" s="392"/>
      <c r="H512" s="392"/>
    </row>
    <row r="513" spans="1:8" ht="15.75">
      <c r="A513" s="390" t="s">
        <v>447</v>
      </c>
      <c r="B513" s="390"/>
      <c r="C513" s="390"/>
      <c r="D513" s="390"/>
      <c r="E513" s="390"/>
      <c r="F513" s="390"/>
      <c r="G513" s="390"/>
      <c r="H513" s="391">
        <f>(H509/H511)*2</f>
        <v>24.8</v>
      </c>
    </row>
    <row r="514" spans="1:8" ht="15.75">
      <c r="A514" s="376"/>
      <c r="B514" s="376"/>
      <c r="C514" s="376"/>
      <c r="D514" s="376"/>
      <c r="E514" s="376"/>
      <c r="F514" s="376"/>
      <c r="G514" s="376"/>
      <c r="H514" s="376"/>
    </row>
    <row r="515" spans="1:9" ht="15.75">
      <c r="A515" s="244" t="s">
        <v>217</v>
      </c>
      <c r="B515" s="244"/>
      <c r="C515" s="244"/>
      <c r="D515" s="244"/>
      <c r="E515" s="244"/>
      <c r="F515" s="244"/>
      <c r="G515" s="244"/>
      <c r="H515" s="244"/>
      <c r="I515" s="398"/>
    </row>
    <row r="516" spans="1:9" ht="15.75">
      <c r="A516" s="372"/>
      <c r="B516" s="372"/>
      <c r="C516" s="372"/>
      <c r="D516" s="372"/>
      <c r="E516" s="372"/>
      <c r="F516" s="372"/>
      <c r="G516" s="372"/>
      <c r="H516" s="372"/>
      <c r="I516" s="398"/>
    </row>
    <row r="517" spans="1:9" ht="15.75">
      <c r="A517" s="344" t="s">
        <v>218</v>
      </c>
      <c r="B517" s="344"/>
      <c r="C517" s="344"/>
      <c r="D517" s="344"/>
      <c r="E517" s="344"/>
      <c r="F517" s="344"/>
      <c r="G517" s="344"/>
      <c r="H517" s="345"/>
      <c r="I517" s="398"/>
    </row>
    <row r="518" spans="1:9" ht="15.75">
      <c r="A518" s="337" t="s">
        <v>249</v>
      </c>
      <c r="B518" s="338"/>
      <c r="C518" s="338"/>
      <c r="D518" s="338"/>
      <c r="E518" s="339"/>
      <c r="F518" s="340" t="s">
        <v>352</v>
      </c>
      <c r="G518" s="340" t="s">
        <v>330</v>
      </c>
      <c r="H518" s="341" t="s">
        <v>251</v>
      </c>
      <c r="I518" s="398"/>
    </row>
    <row r="519" spans="1:9" ht="15.75">
      <c r="A519" s="254" t="s">
        <v>497</v>
      </c>
      <c r="B519" s="254"/>
      <c r="C519" s="254"/>
      <c r="D519" s="254"/>
      <c r="E519" s="254"/>
      <c r="F519" s="255">
        <v>0.9</v>
      </c>
      <c r="G519" s="255">
        <v>2.1</v>
      </c>
      <c r="H519" s="342">
        <f>F519*G519</f>
        <v>1.8900000000000001</v>
      </c>
      <c r="I519" s="398"/>
    </row>
    <row r="520" spans="1:9" ht="15.75">
      <c r="A520" s="395"/>
      <c r="B520" s="396"/>
      <c r="C520" s="396"/>
      <c r="D520" s="396"/>
      <c r="E520" s="396"/>
      <c r="F520" s="397"/>
      <c r="G520" s="257" t="s">
        <v>6</v>
      </c>
      <c r="H520" s="343">
        <f>SUM(H519:H519)</f>
        <v>1.8900000000000001</v>
      </c>
      <c r="I520" s="398"/>
    </row>
    <row r="521" spans="1:9" ht="15.75">
      <c r="A521" s="372"/>
      <c r="B521" s="372"/>
      <c r="C521" s="372"/>
      <c r="D521" s="372"/>
      <c r="E521" s="372"/>
      <c r="F521" s="372"/>
      <c r="G521" s="372"/>
      <c r="H521" s="372"/>
      <c r="I521" s="398"/>
    </row>
    <row r="522" spans="1:9" ht="15.75">
      <c r="A522" s="344" t="s">
        <v>484</v>
      </c>
      <c r="B522" s="344"/>
      <c r="C522" s="344"/>
      <c r="D522" s="344"/>
      <c r="E522" s="344"/>
      <c r="F522" s="344"/>
      <c r="G522" s="344"/>
      <c r="H522" s="345"/>
      <c r="I522" s="398"/>
    </row>
    <row r="523" spans="1:9" ht="31.5">
      <c r="A523" s="364" t="s">
        <v>249</v>
      </c>
      <c r="B523" s="364"/>
      <c r="C523" s="364"/>
      <c r="D523" s="86"/>
      <c r="E523" s="86"/>
      <c r="F523" s="347" t="s">
        <v>402</v>
      </c>
      <c r="G523" s="365" t="s">
        <v>332</v>
      </c>
      <c r="H523" s="365" t="s">
        <v>251</v>
      </c>
      <c r="I523" s="398"/>
    </row>
    <row r="524" spans="1:9" ht="15.75">
      <c r="A524" s="366" t="s">
        <v>498</v>
      </c>
      <c r="B524" s="366"/>
      <c r="C524" s="366"/>
      <c r="D524" s="361"/>
      <c r="E524" s="86"/>
      <c r="F524" s="351">
        <f>((2.1+0.1)*0.1+0.9*0.1)*2</f>
        <v>0.6200000000000001</v>
      </c>
      <c r="G524" s="351">
        <v>1</v>
      </c>
      <c r="H524" s="368">
        <f>F524*G524</f>
        <v>0.6200000000000001</v>
      </c>
      <c r="I524" s="398"/>
    </row>
    <row r="525" spans="1:9" ht="15.75">
      <c r="A525" s="395"/>
      <c r="B525" s="396"/>
      <c r="C525" s="396"/>
      <c r="D525" s="396"/>
      <c r="E525" s="396"/>
      <c r="F525" s="397"/>
      <c r="G525" s="257" t="s">
        <v>6</v>
      </c>
      <c r="H525" s="343">
        <f>SUM(H524:H524)</f>
        <v>0.6200000000000001</v>
      </c>
      <c r="I525" s="398"/>
    </row>
    <row r="526" spans="1:9" ht="15.75">
      <c r="A526" s="372"/>
      <c r="B526" s="372"/>
      <c r="C526" s="372"/>
      <c r="D526" s="372"/>
      <c r="E526" s="372"/>
      <c r="F526" s="372"/>
      <c r="G526" s="372"/>
      <c r="H526" s="372"/>
      <c r="I526" s="398"/>
    </row>
    <row r="527" spans="1:9" ht="15.75">
      <c r="A527" s="344" t="s">
        <v>499</v>
      </c>
      <c r="B527" s="344"/>
      <c r="C527" s="344"/>
      <c r="D527" s="344"/>
      <c r="E527" s="344"/>
      <c r="F527" s="344"/>
      <c r="G527" s="344"/>
      <c r="H527" s="345"/>
      <c r="I527" s="398"/>
    </row>
    <row r="528" spans="1:9" ht="31.5">
      <c r="A528" s="337" t="s">
        <v>249</v>
      </c>
      <c r="B528" s="338"/>
      <c r="C528" s="338"/>
      <c r="D528" s="429" t="s">
        <v>312</v>
      </c>
      <c r="E528" s="429" t="s">
        <v>313</v>
      </c>
      <c r="F528" s="430" t="s">
        <v>314</v>
      </c>
      <c r="G528" s="340" t="s">
        <v>332</v>
      </c>
      <c r="H528" s="348" t="s">
        <v>251</v>
      </c>
      <c r="I528" s="398"/>
    </row>
    <row r="529" spans="1:9" ht="15.75">
      <c r="A529" s="431" t="s">
        <v>500</v>
      </c>
      <c r="B529" s="432"/>
      <c r="C529" s="432"/>
      <c r="D529" s="433">
        <f>(0.9*2.1)*2</f>
        <v>3.7800000000000002</v>
      </c>
      <c r="E529" s="433">
        <f>(2.1*0.15)*2+(0.9*0.15)</f>
        <v>0.765</v>
      </c>
      <c r="F529" s="434">
        <f>(2.1*0.05)*2+(0.9+0.05+0.05)*0.05</f>
        <v>0.26</v>
      </c>
      <c r="G529" s="351">
        <v>1</v>
      </c>
      <c r="H529" s="435">
        <f>(D529+E529+F529)*G529</f>
        <v>4.805</v>
      </c>
      <c r="I529" s="398"/>
    </row>
    <row r="530" spans="1:9" ht="15.75">
      <c r="A530" s="395"/>
      <c r="B530" s="396"/>
      <c r="C530" s="396"/>
      <c r="D530" s="396"/>
      <c r="E530" s="396"/>
      <c r="F530" s="397"/>
      <c r="G530" s="257" t="s">
        <v>6</v>
      </c>
      <c r="H530" s="343">
        <f>SUM(H529:H529)</f>
        <v>4.805</v>
      </c>
      <c r="I530" s="398"/>
    </row>
    <row r="531" spans="1:9" ht="15.75">
      <c r="A531" s="372"/>
      <c r="B531" s="372"/>
      <c r="C531" s="372"/>
      <c r="D531" s="372"/>
      <c r="E531" s="372"/>
      <c r="F531" s="372"/>
      <c r="G531" s="372"/>
      <c r="H531" s="372"/>
      <c r="I531" s="398"/>
    </row>
    <row r="532" spans="1:9" ht="15.75">
      <c r="A532" s="344" t="s">
        <v>413</v>
      </c>
      <c r="B532" s="344"/>
      <c r="C532" s="344"/>
      <c r="D532" s="344"/>
      <c r="E532" s="344"/>
      <c r="F532" s="344"/>
      <c r="G532" s="344"/>
      <c r="H532" s="345"/>
      <c r="I532" s="398"/>
    </row>
    <row r="533" spans="1:9" ht="47.25">
      <c r="A533" s="344" t="s">
        <v>249</v>
      </c>
      <c r="B533" s="344"/>
      <c r="C533" s="374" t="s">
        <v>18</v>
      </c>
      <c r="D533" s="374" t="s">
        <v>414</v>
      </c>
      <c r="E533" s="374" t="s">
        <v>415</v>
      </c>
      <c r="F533" s="374" t="s">
        <v>6</v>
      </c>
      <c r="G533" s="374" t="s">
        <v>416</v>
      </c>
      <c r="H533" s="345" t="s">
        <v>417</v>
      </c>
      <c r="I533" s="398"/>
    </row>
    <row r="534" spans="1:9" ht="15.75">
      <c r="A534" s="360" t="s">
        <v>468</v>
      </c>
      <c r="B534" s="360"/>
      <c r="C534" s="375">
        <v>1</v>
      </c>
      <c r="D534" s="374"/>
      <c r="E534" s="374"/>
      <c r="F534" s="374"/>
      <c r="G534" s="374"/>
      <c r="H534" s="345"/>
      <c r="I534" s="398"/>
    </row>
    <row r="535" spans="1:9" ht="12.75" customHeight="1">
      <c r="A535" s="350" t="s">
        <v>468</v>
      </c>
      <c r="B535" s="350"/>
      <c r="C535" s="350"/>
      <c r="D535" s="375" t="s">
        <v>469</v>
      </c>
      <c r="E535" s="375">
        <f>0.8*2.1*0.05</f>
        <v>0.08400000000000002</v>
      </c>
      <c r="F535" s="377">
        <f>C534*E535</f>
        <v>0.08400000000000002</v>
      </c>
      <c r="G535" s="377">
        <v>600</v>
      </c>
      <c r="H535" s="368">
        <f>ROUND((F535*G535)/1000,2)</f>
        <v>0.05</v>
      </c>
      <c r="I535" s="398"/>
    </row>
    <row r="536" spans="1:9" ht="15.75">
      <c r="A536" s="376"/>
      <c r="B536" s="376"/>
      <c r="C536" s="376"/>
      <c r="D536" s="376"/>
      <c r="E536" s="376"/>
      <c r="F536" s="376"/>
      <c r="G536" s="376"/>
      <c r="H536" s="376"/>
      <c r="I536" s="398"/>
    </row>
    <row r="537" spans="1:9" ht="15.75">
      <c r="A537" s="379"/>
      <c r="B537" s="379"/>
      <c r="C537" s="379"/>
      <c r="D537" s="379"/>
      <c r="E537" s="379"/>
      <c r="F537" s="379"/>
      <c r="G537" s="380" t="s">
        <v>6</v>
      </c>
      <c r="H537" s="381">
        <f>H535</f>
        <v>0.05</v>
      </c>
      <c r="I537" s="398"/>
    </row>
    <row r="538" spans="1:9" ht="15.75">
      <c r="A538" s="382"/>
      <c r="B538" s="382"/>
      <c r="C538" s="382"/>
      <c r="D538" s="382"/>
      <c r="E538" s="382"/>
      <c r="F538" s="382"/>
      <c r="G538" s="378"/>
      <c r="H538" s="378"/>
      <c r="I538" s="398"/>
    </row>
    <row r="539" spans="1:9" ht="15.75">
      <c r="A539" s="383"/>
      <c r="B539" s="383"/>
      <c r="C539" s="383"/>
      <c r="D539" s="383"/>
      <c r="E539" s="384" t="s">
        <v>501</v>
      </c>
      <c r="F539" s="385"/>
      <c r="G539" s="286">
        <v>320</v>
      </c>
      <c r="H539" s="287" t="s">
        <v>439</v>
      </c>
      <c r="I539" s="398"/>
    </row>
    <row r="540" spans="1:9" ht="15.75">
      <c r="A540" s="363"/>
      <c r="B540" s="363"/>
      <c r="C540" s="363"/>
      <c r="D540" s="363"/>
      <c r="E540" s="363"/>
      <c r="F540" s="363"/>
      <c r="G540" s="363"/>
      <c r="H540" s="363"/>
      <c r="I540" s="398"/>
    </row>
    <row r="541" spans="1:9" ht="15.75">
      <c r="A541" s="383"/>
      <c r="B541" s="383"/>
      <c r="C541" s="383"/>
      <c r="D541" s="383"/>
      <c r="E541" s="386" t="s">
        <v>442</v>
      </c>
      <c r="F541" s="386"/>
      <c r="G541" s="386"/>
      <c r="H541" s="287">
        <f>H537*G539</f>
        <v>16</v>
      </c>
      <c r="I541" s="398"/>
    </row>
    <row r="542" spans="1:9" ht="15.75">
      <c r="A542" s="383"/>
      <c r="B542" s="383"/>
      <c r="C542" s="383"/>
      <c r="D542" s="383"/>
      <c r="E542" s="386" t="s">
        <v>443</v>
      </c>
      <c r="F542" s="386"/>
      <c r="G542" s="386"/>
      <c r="H542" s="287">
        <f>H537*(G539-30)</f>
        <v>14.5</v>
      </c>
      <c r="I542" s="398"/>
    </row>
    <row r="543" spans="1:9" ht="15.75">
      <c r="A543" s="372"/>
      <c r="B543" s="372"/>
      <c r="C543" s="372"/>
      <c r="D543" s="372"/>
      <c r="E543" s="372"/>
      <c r="F543" s="372"/>
      <c r="G543" s="372"/>
      <c r="H543" s="372"/>
      <c r="I543" s="398"/>
    </row>
    <row r="544" spans="1:9" ht="15.75">
      <c r="A544" s="344" t="s">
        <v>444</v>
      </c>
      <c r="B544" s="344"/>
      <c r="C544" s="344"/>
      <c r="D544" s="344"/>
      <c r="E544" s="344"/>
      <c r="F544" s="344"/>
      <c r="G544" s="344"/>
      <c r="H544" s="345"/>
      <c r="I544" s="398"/>
    </row>
    <row r="545" spans="1:9" ht="15.75">
      <c r="A545" s="390" t="s">
        <v>502</v>
      </c>
      <c r="B545" s="390"/>
      <c r="C545" s="390"/>
      <c r="D545" s="390"/>
      <c r="E545" s="390"/>
      <c r="F545" s="390"/>
      <c r="G545" s="390"/>
      <c r="H545" s="391">
        <f>G539</f>
        <v>320</v>
      </c>
      <c r="I545" s="398"/>
    </row>
    <row r="546" spans="1:9" ht="15">
      <c r="A546" s="419"/>
      <c r="B546" s="419"/>
      <c r="C546" s="419"/>
      <c r="D546" s="419"/>
      <c r="E546" s="419"/>
      <c r="F546" s="419"/>
      <c r="G546" s="419"/>
      <c r="I546" s="398"/>
    </row>
    <row r="547" spans="1:9" ht="15.75">
      <c r="A547" s="390" t="s">
        <v>503</v>
      </c>
      <c r="B547" s="390"/>
      <c r="C547" s="390"/>
      <c r="D547" s="390"/>
      <c r="E547" s="390"/>
      <c r="F547" s="390"/>
      <c r="G547" s="390"/>
      <c r="H547" s="391">
        <v>10</v>
      </c>
      <c r="I547" s="398"/>
    </row>
    <row r="548" spans="1:9" ht="15.75">
      <c r="A548" s="392"/>
      <c r="B548" s="392"/>
      <c r="C548" s="392"/>
      <c r="D548" s="392"/>
      <c r="E548" s="392"/>
      <c r="F548" s="392"/>
      <c r="G548" s="392"/>
      <c r="H548" s="392"/>
      <c r="I548" s="398"/>
    </row>
    <row r="549" spans="1:9" ht="15.75">
      <c r="A549" s="390" t="s">
        <v>447</v>
      </c>
      <c r="B549" s="390"/>
      <c r="C549" s="390"/>
      <c r="D549" s="390"/>
      <c r="E549" s="390"/>
      <c r="F549" s="390"/>
      <c r="G549" s="390"/>
      <c r="H549" s="391">
        <f>(H545/H547)*2</f>
        <v>64</v>
      </c>
      <c r="I549" s="398"/>
    </row>
    <row r="550" spans="1:9" ht="15.75">
      <c r="A550" s="376"/>
      <c r="B550" s="376"/>
      <c r="C550" s="376"/>
      <c r="D550" s="376"/>
      <c r="E550" s="376"/>
      <c r="F550" s="376"/>
      <c r="G550" s="376"/>
      <c r="H550" s="376"/>
      <c r="I550" s="398"/>
    </row>
    <row r="551" spans="1:9" ht="15.75">
      <c r="A551" s="382"/>
      <c r="B551" s="382"/>
      <c r="C551" s="382"/>
      <c r="D551" s="382"/>
      <c r="E551" s="382"/>
      <c r="F551" s="382"/>
      <c r="G551" s="382"/>
      <c r="H551" s="382"/>
      <c r="I551" s="398"/>
    </row>
    <row r="552" spans="1:8" ht="15.75">
      <c r="A552" s="244" t="s">
        <v>222</v>
      </c>
      <c r="B552" s="244"/>
      <c r="C552" s="244"/>
      <c r="D552" s="244"/>
      <c r="E552" s="244"/>
      <c r="F552" s="244"/>
      <c r="G552" s="244"/>
      <c r="H552" s="244"/>
    </row>
    <row r="554" spans="1:8" ht="15.75">
      <c r="A554" s="344" t="s">
        <v>413</v>
      </c>
      <c r="B554" s="344"/>
      <c r="C554" s="344"/>
      <c r="D554" s="344"/>
      <c r="E554" s="344"/>
      <c r="F554" s="344"/>
      <c r="G554" s="344"/>
      <c r="H554" s="345"/>
    </row>
    <row r="555" spans="1:8" ht="47.25">
      <c r="A555" s="344" t="s">
        <v>249</v>
      </c>
      <c r="B555" s="344"/>
      <c r="C555" s="374" t="s">
        <v>18</v>
      </c>
      <c r="D555" s="374" t="s">
        <v>414</v>
      </c>
      <c r="E555" s="374" t="s">
        <v>415</v>
      </c>
      <c r="F555" s="374" t="s">
        <v>6</v>
      </c>
      <c r="G555" s="374" t="s">
        <v>416</v>
      </c>
      <c r="H555" s="345" t="s">
        <v>417</v>
      </c>
    </row>
    <row r="556" spans="1:8" ht="15.75">
      <c r="A556" s="360" t="s">
        <v>504</v>
      </c>
      <c r="B556" s="360"/>
      <c r="C556" s="375">
        <v>1</v>
      </c>
      <c r="D556" s="374"/>
      <c r="E556" s="374"/>
      <c r="F556" s="374"/>
      <c r="G556" s="374"/>
      <c r="H556" s="345"/>
    </row>
    <row r="557" spans="1:8" ht="31.5">
      <c r="A557" s="350" t="s">
        <v>504</v>
      </c>
      <c r="B557" s="350"/>
      <c r="C557" s="350"/>
      <c r="D557" s="375" t="s">
        <v>505</v>
      </c>
      <c r="E557" s="375">
        <v>50</v>
      </c>
      <c r="F557" s="377">
        <f>C556*E557</f>
        <v>50</v>
      </c>
      <c r="G557" s="377">
        <v>1</v>
      </c>
      <c r="H557" s="368">
        <f>ROUND((F557*G557)/1000,2)</f>
        <v>0.05</v>
      </c>
    </row>
    <row r="558" spans="1:8" ht="15.75">
      <c r="A558" s="344"/>
      <c r="B558" s="344"/>
      <c r="C558" s="344"/>
      <c r="D558" s="344"/>
      <c r="E558" s="344"/>
      <c r="F558" s="344"/>
      <c r="G558" s="344"/>
      <c r="H558" s="345"/>
    </row>
    <row r="559" spans="1:8" ht="20.25" customHeight="1">
      <c r="A559" s="360" t="s">
        <v>506</v>
      </c>
      <c r="B559" s="360"/>
      <c r="C559" s="350">
        <v>1</v>
      </c>
      <c r="D559" s="375"/>
      <c r="E559" s="375"/>
      <c r="F559" s="377"/>
      <c r="G559" s="377"/>
      <c r="H559" s="368"/>
    </row>
    <row r="560" spans="1:8" ht="12.75" customHeight="1">
      <c r="A560" s="350" t="s">
        <v>507</v>
      </c>
      <c r="B560" s="350"/>
      <c r="C560" s="350"/>
      <c r="D560" s="375" t="s">
        <v>469</v>
      </c>
      <c r="E560" s="375">
        <v>1.5</v>
      </c>
      <c r="F560" s="377">
        <f>C559*E560</f>
        <v>1.5</v>
      </c>
      <c r="G560" s="377">
        <v>750</v>
      </c>
      <c r="H560" s="368">
        <f>ROUND((G560*F560)/1000,2)</f>
        <v>1.13</v>
      </c>
    </row>
    <row r="561" spans="1:8" ht="15.75">
      <c r="A561" s="376"/>
      <c r="B561" s="376"/>
      <c r="C561" s="376"/>
      <c r="D561" s="376"/>
      <c r="E561" s="376"/>
      <c r="F561" s="376"/>
      <c r="G561" s="376"/>
      <c r="H561" s="376"/>
    </row>
    <row r="562" spans="1:8" ht="15.75">
      <c r="A562" s="379"/>
      <c r="B562" s="379"/>
      <c r="C562" s="379"/>
      <c r="D562" s="379"/>
      <c r="E562" s="379"/>
      <c r="F562" s="379"/>
      <c r="G562" s="380" t="s">
        <v>6</v>
      </c>
      <c r="H562" s="381">
        <f>H557+H560</f>
        <v>1.18</v>
      </c>
    </row>
    <row r="563" spans="1:8" ht="15.75">
      <c r="A563" s="382"/>
      <c r="B563" s="382"/>
      <c r="C563" s="382"/>
      <c r="D563" s="382"/>
      <c r="E563" s="382"/>
      <c r="F563" s="382"/>
      <c r="G563" s="378"/>
      <c r="H563" s="378"/>
    </row>
    <row r="564" spans="1:8" ht="15.75">
      <c r="A564" s="383"/>
      <c r="B564" s="383"/>
      <c r="C564" s="383"/>
      <c r="D564" s="383"/>
      <c r="E564" s="384" t="s">
        <v>508</v>
      </c>
      <c r="F564" s="385"/>
      <c r="G564" s="286">
        <v>220</v>
      </c>
      <c r="H564" s="287" t="s">
        <v>439</v>
      </c>
    </row>
    <row r="565" spans="1:8" ht="15.75">
      <c r="A565" s="363"/>
      <c r="B565" s="363"/>
      <c r="C565" s="363"/>
      <c r="D565" s="363"/>
      <c r="E565" s="363"/>
      <c r="F565" s="363"/>
      <c r="G565" s="363"/>
      <c r="H565" s="363"/>
    </row>
    <row r="566" spans="1:8" ht="15.75">
      <c r="A566" s="383"/>
      <c r="B566" s="383"/>
      <c r="C566" s="383"/>
      <c r="D566" s="383"/>
      <c r="E566" s="386" t="s">
        <v>442</v>
      </c>
      <c r="F566" s="386"/>
      <c r="G566" s="386"/>
      <c r="H566" s="287">
        <f>H562*G564</f>
        <v>259.59999999999997</v>
      </c>
    </row>
    <row r="567" spans="1:8" ht="15.75">
      <c r="A567" s="383"/>
      <c r="B567" s="383"/>
      <c r="C567" s="383"/>
      <c r="D567" s="383"/>
      <c r="E567" s="386" t="s">
        <v>443</v>
      </c>
      <c r="F567" s="386"/>
      <c r="G567" s="386"/>
      <c r="H567" s="287">
        <f>H562*(G564-30)</f>
        <v>224.2</v>
      </c>
    </row>
    <row r="569" spans="1:8" ht="15.75">
      <c r="A569" s="344" t="s">
        <v>444</v>
      </c>
      <c r="B569" s="344"/>
      <c r="C569" s="344"/>
      <c r="D569" s="344"/>
      <c r="E569" s="344"/>
      <c r="F569" s="344"/>
      <c r="G569" s="344"/>
      <c r="H569" s="345"/>
    </row>
    <row r="570" spans="1:16" ht="15.75">
      <c r="A570" s="390" t="s">
        <v>509</v>
      </c>
      <c r="B570" s="390"/>
      <c r="C570" s="390"/>
      <c r="D570" s="390"/>
      <c r="E570" s="390"/>
      <c r="F570" s="390"/>
      <c r="G570" s="390"/>
      <c r="H570" s="391">
        <f>G564</f>
        <v>220</v>
      </c>
      <c r="J570"/>
      <c r="K570"/>
      <c r="L570"/>
      <c r="M570"/>
      <c r="N570"/>
      <c r="O570"/>
      <c r="P570"/>
    </row>
    <row r="571" spans="1:16" ht="15">
      <c r="A571" s="419"/>
      <c r="B571" s="419"/>
      <c r="C571" s="419"/>
      <c r="D571" s="419"/>
      <c r="E571" s="419"/>
      <c r="F571" s="419"/>
      <c r="G571" s="419"/>
      <c r="J571"/>
      <c r="K571"/>
      <c r="L571"/>
      <c r="M571"/>
      <c r="N571"/>
      <c r="O571"/>
      <c r="P571"/>
    </row>
    <row r="572" spans="1:16" ht="15.75">
      <c r="A572" s="390" t="s">
        <v>510</v>
      </c>
      <c r="B572" s="390"/>
      <c r="C572" s="390"/>
      <c r="D572" s="390"/>
      <c r="E572" s="390"/>
      <c r="F572" s="390"/>
      <c r="G572" s="390"/>
      <c r="H572" s="391">
        <v>10</v>
      </c>
      <c r="J572"/>
      <c r="K572"/>
      <c r="L572"/>
      <c r="M572"/>
      <c r="N572"/>
      <c r="O572"/>
      <c r="P572"/>
    </row>
    <row r="573" spans="1:16" ht="15.75">
      <c r="A573" s="392"/>
      <c r="B573" s="392"/>
      <c r="C573" s="392"/>
      <c r="D573" s="392"/>
      <c r="E573" s="392"/>
      <c r="F573" s="392"/>
      <c r="G573" s="392"/>
      <c r="H573" s="392"/>
      <c r="J573"/>
      <c r="K573"/>
      <c r="L573"/>
      <c r="M573"/>
      <c r="N573"/>
      <c r="O573"/>
      <c r="P573"/>
    </row>
    <row r="574" spans="1:16" ht="15.75">
      <c r="A574" s="390" t="s">
        <v>447</v>
      </c>
      <c r="B574" s="390"/>
      <c r="C574" s="390"/>
      <c r="D574" s="390"/>
      <c r="E574" s="390"/>
      <c r="F574" s="390"/>
      <c r="G574" s="390"/>
      <c r="H574" s="391">
        <f>(H570/H572)*2</f>
        <v>44</v>
      </c>
      <c r="J574"/>
      <c r="K574"/>
      <c r="L574"/>
      <c r="M574"/>
      <c r="N574"/>
      <c r="O574"/>
      <c r="P574"/>
    </row>
    <row r="575" spans="1:16" ht="15.75">
      <c r="A575" s="376"/>
      <c r="B575" s="376"/>
      <c r="C575" s="376"/>
      <c r="D575" s="376"/>
      <c r="E575" s="376"/>
      <c r="F575" s="376"/>
      <c r="G575" s="376"/>
      <c r="H575" s="376"/>
      <c r="J575"/>
      <c r="K575"/>
      <c r="L575"/>
      <c r="M575"/>
      <c r="N575"/>
      <c r="O575"/>
      <c r="P575"/>
    </row>
    <row r="576" spans="1:9" s="186" customFormat="1" ht="15.75">
      <c r="A576" s="244" t="s">
        <v>228</v>
      </c>
      <c r="B576" s="244"/>
      <c r="C576" s="244"/>
      <c r="D576" s="244"/>
      <c r="E576" s="244"/>
      <c r="F576" s="244"/>
      <c r="G576" s="244"/>
      <c r="H576" s="244"/>
      <c r="I576" s="436"/>
    </row>
    <row r="577" spans="1:9" s="186" customFormat="1" ht="15.75">
      <c r="A577" s="356"/>
      <c r="B577" s="357"/>
      <c r="C577" s="357"/>
      <c r="D577" s="357"/>
      <c r="E577" s="357"/>
      <c r="F577" s="357"/>
      <c r="G577" s="357"/>
      <c r="H577" s="358"/>
      <c r="I577" s="436"/>
    </row>
    <row r="578" spans="1:9" s="186" customFormat="1" ht="15.75">
      <c r="A578" s="344" t="s">
        <v>511</v>
      </c>
      <c r="B578" s="344"/>
      <c r="C578" s="344"/>
      <c r="D578" s="344"/>
      <c r="E578" s="344"/>
      <c r="F578" s="344"/>
      <c r="G578" s="344"/>
      <c r="H578" s="345"/>
      <c r="I578" s="436"/>
    </row>
    <row r="579" spans="1:9" s="186" customFormat="1" ht="31.5">
      <c r="A579" s="344" t="s">
        <v>249</v>
      </c>
      <c r="B579" s="344"/>
      <c r="C579" s="364" t="s">
        <v>512</v>
      </c>
      <c r="D579" s="364" t="s">
        <v>513</v>
      </c>
      <c r="E579" s="364" t="s">
        <v>514</v>
      </c>
      <c r="F579" s="364" t="s">
        <v>515</v>
      </c>
      <c r="G579" s="364" t="s">
        <v>516</v>
      </c>
      <c r="H579" s="347" t="s">
        <v>517</v>
      </c>
      <c r="I579" s="443"/>
    </row>
    <row r="580" spans="1:9" s="186" customFormat="1" ht="15.75">
      <c r="A580" s="390" t="s">
        <v>275</v>
      </c>
      <c r="B580" s="390"/>
      <c r="C580" s="437">
        <v>4.304</v>
      </c>
      <c r="D580" s="437">
        <v>3</v>
      </c>
      <c r="E580" s="438">
        <f>ROUND(C580*D580,2)</f>
        <v>12.91</v>
      </c>
      <c r="F580" s="437" t="s">
        <v>405</v>
      </c>
      <c r="G580" s="438">
        <v>2.4</v>
      </c>
      <c r="H580" s="439">
        <f>E580-G580</f>
        <v>10.51</v>
      </c>
      <c r="I580" s="443"/>
    </row>
    <row r="581" spans="1:9" s="186" customFormat="1" ht="15.75">
      <c r="A581" s="390" t="s">
        <v>276</v>
      </c>
      <c r="B581" s="390"/>
      <c r="C581" s="437">
        <v>3.2364</v>
      </c>
      <c r="D581" s="437">
        <v>3</v>
      </c>
      <c r="E581" s="438">
        <f aca="true" t="shared" si="13" ref="E581:E590">ROUND(C581*D581,2)</f>
        <v>9.71</v>
      </c>
      <c r="F581" s="437" t="s">
        <v>278</v>
      </c>
      <c r="G581" s="438">
        <v>3.031</v>
      </c>
      <c r="H581" s="439">
        <f aca="true" t="shared" si="14" ref="H581:H590">E581-G581</f>
        <v>6.679</v>
      </c>
      <c r="I581" s="443"/>
    </row>
    <row r="582" spans="1:9" s="186" customFormat="1" ht="15.75">
      <c r="A582" s="390" t="s">
        <v>277</v>
      </c>
      <c r="B582" s="390"/>
      <c r="C582" s="437">
        <v>5.996</v>
      </c>
      <c r="D582" s="437">
        <v>3</v>
      </c>
      <c r="E582" s="438">
        <f t="shared" si="13"/>
        <v>17.99</v>
      </c>
      <c r="F582" s="437"/>
      <c r="G582" s="438">
        <v>0</v>
      </c>
      <c r="H582" s="439">
        <f t="shared" si="14"/>
        <v>17.99</v>
      </c>
      <c r="I582" s="443"/>
    </row>
    <row r="583" spans="1:9" s="186" customFormat="1" ht="15.75">
      <c r="A583" s="390" t="s">
        <v>278</v>
      </c>
      <c r="B583" s="390"/>
      <c r="C583" s="437">
        <v>7.5164</v>
      </c>
      <c r="D583" s="437">
        <v>3</v>
      </c>
      <c r="E583" s="438">
        <f t="shared" si="13"/>
        <v>22.55</v>
      </c>
      <c r="F583" s="437" t="s">
        <v>404</v>
      </c>
      <c r="G583" s="438">
        <v>0.5</v>
      </c>
      <c r="H583" s="439">
        <f t="shared" si="14"/>
        <v>22.05</v>
      </c>
      <c r="I583" s="443"/>
    </row>
    <row r="584" spans="1:9" s="186" customFormat="1" ht="15.75">
      <c r="A584" s="390" t="s">
        <v>279</v>
      </c>
      <c r="B584" s="390"/>
      <c r="C584" s="437">
        <v>10.58</v>
      </c>
      <c r="D584" s="437">
        <v>3</v>
      </c>
      <c r="E584" s="438">
        <f t="shared" si="13"/>
        <v>31.74</v>
      </c>
      <c r="F584" s="437" t="s">
        <v>405</v>
      </c>
      <c r="G584" s="438">
        <v>7.2</v>
      </c>
      <c r="H584" s="439">
        <f t="shared" si="14"/>
        <v>24.54</v>
      </c>
      <c r="I584" s="443"/>
    </row>
    <row r="585" spans="1:9" s="186" customFormat="1" ht="15.75">
      <c r="A585" s="390" t="s">
        <v>280</v>
      </c>
      <c r="B585" s="390"/>
      <c r="C585" s="437">
        <v>10.3</v>
      </c>
      <c r="D585" s="437">
        <v>3</v>
      </c>
      <c r="E585" s="438">
        <f t="shared" si="13"/>
        <v>30.9</v>
      </c>
      <c r="F585" s="437" t="s">
        <v>518</v>
      </c>
      <c r="G585" s="438">
        <v>0.836</v>
      </c>
      <c r="H585" s="439">
        <f t="shared" si="14"/>
        <v>30.064</v>
      </c>
      <c r="I585" s="443"/>
    </row>
    <row r="586" spans="1:9" s="186" customFormat="1" ht="15.75">
      <c r="A586" s="390" t="s">
        <v>281</v>
      </c>
      <c r="B586" s="390"/>
      <c r="C586" s="437">
        <v>1.8</v>
      </c>
      <c r="D586" s="437">
        <v>3</v>
      </c>
      <c r="E586" s="438">
        <f t="shared" si="13"/>
        <v>5.4</v>
      </c>
      <c r="F586" s="437"/>
      <c r="G586" s="438">
        <v>0</v>
      </c>
      <c r="H586" s="439">
        <f t="shared" si="14"/>
        <v>5.4</v>
      </c>
      <c r="I586" s="443"/>
    </row>
    <row r="587" spans="1:9" s="186" customFormat="1" ht="15.75">
      <c r="A587" s="390" t="s">
        <v>282</v>
      </c>
      <c r="B587" s="390"/>
      <c r="C587" s="437">
        <v>2.6</v>
      </c>
      <c r="D587" s="437">
        <v>3</v>
      </c>
      <c r="E587" s="438">
        <f t="shared" si="13"/>
        <v>7.8</v>
      </c>
      <c r="F587" s="437" t="s">
        <v>275</v>
      </c>
      <c r="G587" s="438">
        <v>1.26</v>
      </c>
      <c r="H587" s="439">
        <f t="shared" si="14"/>
        <v>6.54</v>
      </c>
      <c r="I587" s="443"/>
    </row>
    <row r="588" spans="1:9" s="186" customFormat="1" ht="15.75">
      <c r="A588" s="390" t="s">
        <v>283</v>
      </c>
      <c r="B588" s="390"/>
      <c r="C588" s="437">
        <v>4.5126</v>
      </c>
      <c r="D588" s="437">
        <v>3</v>
      </c>
      <c r="E588" s="438">
        <f t="shared" si="13"/>
        <v>13.54</v>
      </c>
      <c r="F588" s="437" t="s">
        <v>519</v>
      </c>
      <c r="G588" s="438">
        <v>2.4052</v>
      </c>
      <c r="H588" s="439">
        <f t="shared" si="14"/>
        <v>11.134799999999998</v>
      </c>
      <c r="I588" s="443"/>
    </row>
    <row r="589" spans="1:9" s="186" customFormat="1" ht="15.75">
      <c r="A589" s="390" t="s">
        <v>284</v>
      </c>
      <c r="B589" s="390"/>
      <c r="C589" s="437">
        <v>2.6</v>
      </c>
      <c r="D589" s="437">
        <v>3</v>
      </c>
      <c r="E589" s="438">
        <f t="shared" si="13"/>
        <v>7.8</v>
      </c>
      <c r="F589" s="437" t="s">
        <v>520</v>
      </c>
      <c r="G589" s="438">
        <v>1.9052</v>
      </c>
      <c r="H589" s="439">
        <f t="shared" si="14"/>
        <v>5.8948</v>
      </c>
      <c r="I589" s="443"/>
    </row>
    <row r="590" spans="1:9" s="186" customFormat="1" ht="15.75">
      <c r="A590" s="390" t="s">
        <v>521</v>
      </c>
      <c r="B590" s="390"/>
      <c r="C590" s="437">
        <v>1.6</v>
      </c>
      <c r="D590" s="437">
        <v>3</v>
      </c>
      <c r="E590" s="438">
        <f t="shared" si="13"/>
        <v>4.8</v>
      </c>
      <c r="F590" s="437"/>
      <c r="G590" s="438">
        <v>0</v>
      </c>
      <c r="H590" s="439">
        <f t="shared" si="14"/>
        <v>4.8</v>
      </c>
      <c r="I590" s="436"/>
    </row>
    <row r="591" spans="1:9" s="186" customFormat="1" ht="15.75">
      <c r="A591" s="395"/>
      <c r="B591" s="396"/>
      <c r="C591" s="396"/>
      <c r="D591" s="396"/>
      <c r="E591" s="396"/>
      <c r="F591" s="397"/>
      <c r="G591" s="257" t="s">
        <v>6</v>
      </c>
      <c r="H591" s="343">
        <f>SUM(H580:H590)</f>
        <v>145.60260000000002</v>
      </c>
      <c r="I591" s="436"/>
    </row>
    <row r="592" spans="1:9" s="186" customFormat="1" ht="15.75">
      <c r="A592" s="372"/>
      <c r="B592" s="372"/>
      <c r="C592" s="372"/>
      <c r="D592" s="372"/>
      <c r="E592" s="372"/>
      <c r="F592" s="372"/>
      <c r="G592" s="372"/>
      <c r="H592" s="372"/>
      <c r="I592" s="436"/>
    </row>
    <row r="593" spans="1:9" s="186" customFormat="1" ht="15.75">
      <c r="A593" s="344" t="s">
        <v>522</v>
      </c>
      <c r="B593" s="344"/>
      <c r="C593" s="344"/>
      <c r="D593" s="344"/>
      <c r="E593" s="344"/>
      <c r="F593" s="344"/>
      <c r="G593" s="344"/>
      <c r="H593" s="345"/>
      <c r="I593" s="436"/>
    </row>
    <row r="594" spans="1:9" s="186" customFormat="1" ht="31.5">
      <c r="A594" s="356" t="s">
        <v>249</v>
      </c>
      <c r="B594" s="440"/>
      <c r="C594" s="364" t="s">
        <v>512</v>
      </c>
      <c r="D594" s="364" t="s">
        <v>513</v>
      </c>
      <c r="E594" s="364" t="s">
        <v>514</v>
      </c>
      <c r="F594" s="364" t="s">
        <v>523</v>
      </c>
      <c r="G594" s="364" t="s">
        <v>516</v>
      </c>
      <c r="H594" s="347" t="s">
        <v>517</v>
      </c>
      <c r="I594" s="443"/>
    </row>
    <row r="595" spans="1:9" s="186" customFormat="1" ht="15.75">
      <c r="A595" s="390" t="s">
        <v>275</v>
      </c>
      <c r="B595" s="390"/>
      <c r="C595" s="438">
        <v>4</v>
      </c>
      <c r="D595" s="438">
        <v>3</v>
      </c>
      <c r="E595" s="438">
        <f>ROUND(C595*D595,2)</f>
        <v>12</v>
      </c>
      <c r="F595" s="437" t="s">
        <v>405</v>
      </c>
      <c r="G595" s="438">
        <v>2.4</v>
      </c>
      <c r="H595" s="439">
        <f>E595-G595</f>
        <v>9.6</v>
      </c>
      <c r="I595" s="443"/>
    </row>
    <row r="596" spans="1:9" s="186" customFormat="1" ht="15.75">
      <c r="A596" s="390" t="s">
        <v>276</v>
      </c>
      <c r="B596" s="390"/>
      <c r="C596" s="438">
        <v>3.2364</v>
      </c>
      <c r="D596" s="438">
        <v>3</v>
      </c>
      <c r="E596" s="438">
        <f aca="true" t="shared" si="15" ref="E596:E630">ROUND(C596*D596,2)</f>
        <v>9.71</v>
      </c>
      <c r="F596" s="437" t="s">
        <v>278</v>
      </c>
      <c r="G596" s="438">
        <v>3.031</v>
      </c>
      <c r="H596" s="439">
        <f aca="true" t="shared" si="16" ref="H596:H626">E596-G596</f>
        <v>6.679</v>
      </c>
      <c r="I596" s="443"/>
    </row>
    <row r="597" spans="1:9" s="186" customFormat="1" ht="15.75">
      <c r="A597" s="390" t="s">
        <v>277</v>
      </c>
      <c r="B597" s="390"/>
      <c r="C597" s="438">
        <v>5.85</v>
      </c>
      <c r="D597" s="438">
        <v>3</v>
      </c>
      <c r="E597" s="438">
        <f t="shared" si="15"/>
        <v>17.55</v>
      </c>
      <c r="F597" s="437"/>
      <c r="G597" s="438">
        <v>0</v>
      </c>
      <c r="H597" s="439">
        <f t="shared" si="16"/>
        <v>17.55</v>
      </c>
      <c r="I597" s="443"/>
    </row>
    <row r="598" spans="1:9" s="186" customFormat="1" ht="15.75">
      <c r="A598" s="390" t="s">
        <v>278</v>
      </c>
      <c r="B598" s="390"/>
      <c r="C598" s="438">
        <v>7.2164</v>
      </c>
      <c r="D598" s="438">
        <v>3</v>
      </c>
      <c r="E598" s="438">
        <f t="shared" si="15"/>
        <v>21.65</v>
      </c>
      <c r="F598" s="437" t="s">
        <v>404</v>
      </c>
      <c r="G598" s="438">
        <v>0.5</v>
      </c>
      <c r="H598" s="439">
        <f t="shared" si="16"/>
        <v>21.15</v>
      </c>
      <c r="I598" s="443"/>
    </row>
    <row r="599" spans="1:9" s="186" customFormat="1" ht="15.75">
      <c r="A599" s="390" t="s">
        <v>279</v>
      </c>
      <c r="B599" s="390"/>
      <c r="C599" s="438">
        <v>6</v>
      </c>
      <c r="D599" s="438">
        <v>3</v>
      </c>
      <c r="E599" s="438">
        <f t="shared" si="15"/>
        <v>18</v>
      </c>
      <c r="F599" s="437" t="s">
        <v>276</v>
      </c>
      <c r="G599" s="438">
        <v>3.36</v>
      </c>
      <c r="H599" s="439">
        <f t="shared" si="16"/>
        <v>14.64</v>
      </c>
      <c r="I599" s="443"/>
    </row>
    <row r="600" spans="1:9" s="186" customFormat="1" ht="15.75">
      <c r="A600" s="390" t="s">
        <v>280</v>
      </c>
      <c r="B600" s="390"/>
      <c r="C600" s="438">
        <v>3</v>
      </c>
      <c r="D600" s="438">
        <v>3</v>
      </c>
      <c r="E600" s="438">
        <f t="shared" si="15"/>
        <v>9</v>
      </c>
      <c r="F600" s="437" t="s">
        <v>405</v>
      </c>
      <c r="G600" s="438">
        <v>2.4</v>
      </c>
      <c r="H600" s="439">
        <f t="shared" si="16"/>
        <v>6.6</v>
      </c>
      <c r="I600" s="443"/>
    </row>
    <row r="601" spans="1:9" s="186" customFormat="1" ht="15.75">
      <c r="A601" s="390" t="s">
        <v>281</v>
      </c>
      <c r="B601" s="390"/>
      <c r="C601" s="438">
        <v>3.75</v>
      </c>
      <c r="D601" s="438">
        <v>3</v>
      </c>
      <c r="E601" s="438">
        <f t="shared" si="15"/>
        <v>11.25</v>
      </c>
      <c r="F601" s="437"/>
      <c r="G601" s="438">
        <v>0</v>
      </c>
      <c r="H601" s="439">
        <f t="shared" si="16"/>
        <v>11.25</v>
      </c>
      <c r="I601" s="443"/>
    </row>
    <row r="602" spans="1:9" s="186" customFormat="1" ht="15.75">
      <c r="A602" s="390" t="s">
        <v>282</v>
      </c>
      <c r="B602" s="390"/>
      <c r="C602" s="438">
        <v>0</v>
      </c>
      <c r="D602" s="438">
        <v>3</v>
      </c>
      <c r="E602" s="438">
        <f t="shared" si="15"/>
        <v>0</v>
      </c>
      <c r="F602" s="437" t="s">
        <v>277</v>
      </c>
      <c r="G602" s="438"/>
      <c r="H602" s="439"/>
      <c r="I602" s="443"/>
    </row>
    <row r="603" spans="1:9" s="186" customFormat="1" ht="15.75">
      <c r="A603" s="390" t="s">
        <v>283</v>
      </c>
      <c r="B603" s="390"/>
      <c r="C603" s="438">
        <v>0</v>
      </c>
      <c r="D603" s="438">
        <v>3</v>
      </c>
      <c r="E603" s="438">
        <f t="shared" si="15"/>
        <v>0</v>
      </c>
      <c r="F603" s="437"/>
      <c r="G603" s="438">
        <v>0</v>
      </c>
      <c r="H603" s="439"/>
      <c r="I603" s="443"/>
    </row>
    <row r="604" spans="1:9" s="186" customFormat="1" ht="15.75">
      <c r="A604" s="390" t="s">
        <v>284</v>
      </c>
      <c r="B604" s="390"/>
      <c r="C604" s="438">
        <v>3.0525</v>
      </c>
      <c r="D604" s="438">
        <v>3</v>
      </c>
      <c r="E604" s="438">
        <f t="shared" si="15"/>
        <v>9.16</v>
      </c>
      <c r="F604" s="437" t="s">
        <v>275</v>
      </c>
      <c r="G604" s="438">
        <v>1.26</v>
      </c>
      <c r="H604" s="439">
        <f t="shared" si="16"/>
        <v>7.9</v>
      </c>
      <c r="I604" s="443"/>
    </row>
    <row r="605" spans="1:9" s="186" customFormat="1" ht="15.75">
      <c r="A605" s="390" t="s">
        <v>287</v>
      </c>
      <c r="B605" s="390"/>
      <c r="C605" s="438">
        <v>3.13</v>
      </c>
      <c r="D605" s="438">
        <v>3</v>
      </c>
      <c r="E605" s="438">
        <f t="shared" si="15"/>
        <v>9.39</v>
      </c>
      <c r="F605" s="437" t="s">
        <v>276</v>
      </c>
      <c r="G605" s="438">
        <v>1.68</v>
      </c>
      <c r="H605" s="439">
        <f t="shared" si="16"/>
        <v>7.710000000000001</v>
      </c>
      <c r="I605" s="443"/>
    </row>
    <row r="606" spans="1:9" s="186" customFormat="1" ht="15.75">
      <c r="A606" s="390" t="s">
        <v>288</v>
      </c>
      <c r="B606" s="390"/>
      <c r="C606" s="438">
        <v>1.2743</v>
      </c>
      <c r="D606" s="438">
        <v>3</v>
      </c>
      <c r="E606" s="438">
        <f t="shared" si="15"/>
        <v>3.82</v>
      </c>
      <c r="F606" s="437" t="s">
        <v>276</v>
      </c>
      <c r="G606" s="438">
        <v>1.68</v>
      </c>
      <c r="H606" s="439">
        <f t="shared" si="16"/>
        <v>2.1399999999999997</v>
      </c>
      <c r="I606" s="443"/>
    </row>
    <row r="607" spans="1:9" s="186" customFormat="1" ht="15.75">
      <c r="A607" s="390" t="s">
        <v>289</v>
      </c>
      <c r="B607" s="390"/>
      <c r="C607" s="438">
        <v>3.75</v>
      </c>
      <c r="D607" s="438">
        <v>3</v>
      </c>
      <c r="E607" s="438">
        <f t="shared" si="15"/>
        <v>11.25</v>
      </c>
      <c r="F607" s="437"/>
      <c r="G607" s="438">
        <v>0</v>
      </c>
      <c r="H607" s="439">
        <f t="shared" si="16"/>
        <v>11.25</v>
      </c>
      <c r="I607" s="443"/>
    </row>
    <row r="608" spans="1:9" s="186" customFormat="1" ht="15.75">
      <c r="A608" s="390" t="s">
        <v>290</v>
      </c>
      <c r="B608" s="390"/>
      <c r="C608" s="438">
        <v>2.98</v>
      </c>
      <c r="D608" s="438">
        <v>3</v>
      </c>
      <c r="E608" s="438">
        <f t="shared" si="15"/>
        <v>8.94</v>
      </c>
      <c r="F608" s="437" t="s">
        <v>405</v>
      </c>
      <c r="G608" s="438">
        <v>2.4</v>
      </c>
      <c r="H608" s="439">
        <f t="shared" si="16"/>
        <v>6.539999999999999</v>
      </c>
      <c r="I608" s="443"/>
    </row>
    <row r="609" spans="1:9" s="186" customFormat="1" ht="15.75">
      <c r="A609" s="390" t="s">
        <v>291</v>
      </c>
      <c r="B609" s="390"/>
      <c r="C609" s="438">
        <v>3.75</v>
      </c>
      <c r="D609" s="438">
        <v>3</v>
      </c>
      <c r="E609" s="438">
        <f t="shared" si="15"/>
        <v>11.25</v>
      </c>
      <c r="F609" s="437"/>
      <c r="G609" s="438">
        <v>0</v>
      </c>
      <c r="H609" s="439">
        <f t="shared" si="16"/>
        <v>11.25</v>
      </c>
      <c r="I609" s="443"/>
    </row>
    <row r="610" spans="1:9" s="186" customFormat="1" ht="15.75">
      <c r="A610" s="390" t="s">
        <v>292</v>
      </c>
      <c r="B610" s="390"/>
      <c r="C610" s="438">
        <v>2.98</v>
      </c>
      <c r="D610" s="438">
        <v>3</v>
      </c>
      <c r="E610" s="438">
        <f t="shared" si="15"/>
        <v>8.94</v>
      </c>
      <c r="F610" s="437" t="s">
        <v>275</v>
      </c>
      <c r="G610" s="438">
        <v>1.68</v>
      </c>
      <c r="H610" s="439">
        <f t="shared" si="16"/>
        <v>7.26</v>
      </c>
      <c r="I610" s="443"/>
    </row>
    <row r="611" spans="1:9" s="186" customFormat="1" ht="15.75">
      <c r="A611" s="390" t="s">
        <v>293</v>
      </c>
      <c r="B611" s="390"/>
      <c r="C611" s="438">
        <v>4</v>
      </c>
      <c r="D611" s="438">
        <v>3</v>
      </c>
      <c r="E611" s="438">
        <f t="shared" si="15"/>
        <v>12</v>
      </c>
      <c r="F611" s="437" t="s">
        <v>275</v>
      </c>
      <c r="G611" s="438">
        <v>1.26</v>
      </c>
      <c r="H611" s="439">
        <f t="shared" si="16"/>
        <v>10.74</v>
      </c>
      <c r="I611" s="443"/>
    </row>
    <row r="612" spans="1:9" s="186" customFormat="1" ht="15.75">
      <c r="A612" s="390" t="s">
        <v>294</v>
      </c>
      <c r="B612" s="390"/>
      <c r="C612" s="438">
        <v>5.17</v>
      </c>
      <c r="D612" s="438">
        <v>3</v>
      </c>
      <c r="E612" s="438">
        <f t="shared" si="15"/>
        <v>15.51</v>
      </c>
      <c r="F612" s="437"/>
      <c r="G612" s="438">
        <v>0</v>
      </c>
      <c r="H612" s="439">
        <f t="shared" si="16"/>
        <v>15.51</v>
      </c>
      <c r="I612" s="443"/>
    </row>
    <row r="613" spans="1:9" s="186" customFormat="1" ht="15.75">
      <c r="A613" s="390" t="s">
        <v>295</v>
      </c>
      <c r="B613" s="390"/>
      <c r="C613" s="438">
        <v>4</v>
      </c>
      <c r="D613" s="438">
        <v>3</v>
      </c>
      <c r="E613" s="438">
        <f t="shared" si="15"/>
        <v>12</v>
      </c>
      <c r="F613" s="437" t="s">
        <v>405</v>
      </c>
      <c r="G613" s="438">
        <v>2.4</v>
      </c>
      <c r="H613" s="439">
        <f t="shared" si="16"/>
        <v>9.6</v>
      </c>
      <c r="I613" s="443"/>
    </row>
    <row r="614" spans="1:9" s="186" customFormat="1" ht="15.75">
      <c r="A614" s="390" t="s">
        <v>390</v>
      </c>
      <c r="B614" s="390"/>
      <c r="C614" s="438">
        <v>5.17</v>
      </c>
      <c r="D614" s="438">
        <v>3</v>
      </c>
      <c r="E614" s="438">
        <f t="shared" si="15"/>
        <v>15.51</v>
      </c>
      <c r="F614" s="437" t="s">
        <v>276</v>
      </c>
      <c r="G614" s="438">
        <v>1.68</v>
      </c>
      <c r="H614" s="439">
        <f t="shared" si="16"/>
        <v>13.83</v>
      </c>
      <c r="I614" s="443"/>
    </row>
    <row r="615" spans="1:9" s="186" customFormat="1" ht="15.75">
      <c r="A615" s="390" t="s">
        <v>391</v>
      </c>
      <c r="B615" s="390"/>
      <c r="C615" s="438">
        <v>1.5</v>
      </c>
      <c r="D615" s="438">
        <v>1.5</v>
      </c>
      <c r="E615" s="438">
        <f t="shared" si="15"/>
        <v>2.25</v>
      </c>
      <c r="F615" s="437"/>
      <c r="G615" s="438">
        <v>0</v>
      </c>
      <c r="H615" s="439">
        <f t="shared" si="16"/>
        <v>2.25</v>
      </c>
      <c r="I615" s="443"/>
    </row>
    <row r="616" spans="1:9" s="186" customFormat="1" ht="15.75">
      <c r="A616" s="390" t="s">
        <v>392</v>
      </c>
      <c r="B616" s="390"/>
      <c r="C616" s="438">
        <v>1.55</v>
      </c>
      <c r="D616" s="438">
        <v>1.5</v>
      </c>
      <c r="E616" s="438">
        <f t="shared" si="15"/>
        <v>2.33</v>
      </c>
      <c r="F616" s="437" t="s">
        <v>403</v>
      </c>
      <c r="G616" s="438">
        <v>0.336</v>
      </c>
      <c r="H616" s="439">
        <f t="shared" si="16"/>
        <v>1.994</v>
      </c>
      <c r="I616" s="443"/>
    </row>
    <row r="617" spans="1:9" s="186" customFormat="1" ht="15.75">
      <c r="A617" s="390" t="s">
        <v>393</v>
      </c>
      <c r="B617" s="390"/>
      <c r="C617" s="438">
        <v>1.5</v>
      </c>
      <c r="D617" s="438">
        <v>1.5</v>
      </c>
      <c r="E617" s="438">
        <f t="shared" si="15"/>
        <v>2.25</v>
      </c>
      <c r="F617" s="437"/>
      <c r="G617" s="438">
        <v>0</v>
      </c>
      <c r="H617" s="439">
        <f t="shared" si="16"/>
        <v>2.25</v>
      </c>
      <c r="I617" s="443"/>
    </row>
    <row r="618" spans="1:9" s="186" customFormat="1" ht="15.75">
      <c r="A618" s="390" t="s">
        <v>394</v>
      </c>
      <c r="B618" s="390"/>
      <c r="C618" s="438">
        <v>1.55</v>
      </c>
      <c r="D618" s="438">
        <v>1.5</v>
      </c>
      <c r="E618" s="438">
        <f t="shared" si="15"/>
        <v>2.33</v>
      </c>
      <c r="F618" s="437" t="s">
        <v>275</v>
      </c>
      <c r="G618" s="438">
        <v>1.26</v>
      </c>
      <c r="H618" s="439">
        <f t="shared" si="16"/>
        <v>1.07</v>
      </c>
      <c r="I618" s="443"/>
    </row>
    <row r="619" spans="1:9" s="186" customFormat="1" ht="15.75">
      <c r="A619" s="390" t="s">
        <v>395</v>
      </c>
      <c r="B619" s="390"/>
      <c r="C619" s="438">
        <v>0</v>
      </c>
      <c r="D619" s="438">
        <v>3</v>
      </c>
      <c r="E619" s="438">
        <f t="shared" si="15"/>
        <v>0</v>
      </c>
      <c r="F619" s="437"/>
      <c r="G619" s="438">
        <v>0</v>
      </c>
      <c r="H619" s="439"/>
      <c r="I619" s="443"/>
    </row>
    <row r="620" spans="1:9" s="186" customFormat="1" ht="15.75">
      <c r="A620" s="390" t="s">
        <v>396</v>
      </c>
      <c r="B620" s="390"/>
      <c r="C620" s="438">
        <v>0</v>
      </c>
      <c r="D620" s="438">
        <v>3</v>
      </c>
      <c r="E620" s="438">
        <f t="shared" si="15"/>
        <v>0</v>
      </c>
      <c r="F620" s="437"/>
      <c r="G620" s="438">
        <v>0</v>
      </c>
      <c r="H620" s="439"/>
      <c r="I620" s="443"/>
    </row>
    <row r="621" spans="1:9" s="186" customFormat="1" ht="15.75">
      <c r="A621" s="390" t="s">
        <v>397</v>
      </c>
      <c r="B621" s="390"/>
      <c r="C621" s="438">
        <v>0</v>
      </c>
      <c r="D621" s="438">
        <v>3</v>
      </c>
      <c r="E621" s="438">
        <f t="shared" si="15"/>
        <v>0</v>
      </c>
      <c r="F621" s="437" t="s">
        <v>404</v>
      </c>
      <c r="G621" s="438">
        <v>0.5</v>
      </c>
      <c r="H621" s="439"/>
      <c r="I621" s="443"/>
    </row>
    <row r="622" spans="1:9" s="186" customFormat="1" ht="15.75">
      <c r="A622" s="390" t="s">
        <v>524</v>
      </c>
      <c r="B622" s="390"/>
      <c r="C622" s="438">
        <v>0</v>
      </c>
      <c r="D622" s="438">
        <v>3</v>
      </c>
      <c r="E622" s="438">
        <f t="shared" si="15"/>
        <v>0</v>
      </c>
      <c r="F622" s="437" t="s">
        <v>275</v>
      </c>
      <c r="G622" s="438">
        <v>1.26</v>
      </c>
      <c r="H622" s="439"/>
      <c r="I622" s="443"/>
    </row>
    <row r="623" spans="1:9" s="186" customFormat="1" ht="15.75">
      <c r="A623" s="390" t="s">
        <v>525</v>
      </c>
      <c r="B623" s="390"/>
      <c r="C623" s="438">
        <v>2.36</v>
      </c>
      <c r="D623" s="438">
        <v>3</v>
      </c>
      <c r="E623" s="438">
        <f t="shared" si="15"/>
        <v>7.08</v>
      </c>
      <c r="F623" s="437" t="s">
        <v>277</v>
      </c>
      <c r="G623" s="438">
        <v>1.9052</v>
      </c>
      <c r="H623" s="439">
        <f t="shared" si="16"/>
        <v>5.1748</v>
      </c>
      <c r="I623" s="443"/>
    </row>
    <row r="624" spans="1:9" s="186" customFormat="1" ht="15.75">
      <c r="A624" s="390" t="s">
        <v>526</v>
      </c>
      <c r="B624" s="390"/>
      <c r="C624" s="438">
        <v>2.0757</v>
      </c>
      <c r="D624" s="438">
        <v>3</v>
      </c>
      <c r="E624" s="438">
        <f t="shared" si="15"/>
        <v>6.23</v>
      </c>
      <c r="F624" s="437"/>
      <c r="G624" s="438">
        <v>0</v>
      </c>
      <c r="H624" s="439">
        <f t="shared" si="16"/>
        <v>6.23</v>
      </c>
      <c r="I624" s="443"/>
    </row>
    <row r="625" spans="1:9" s="186" customFormat="1" ht="15.75">
      <c r="A625" s="390" t="s">
        <v>527</v>
      </c>
      <c r="B625" s="390"/>
      <c r="C625" s="438">
        <v>2.36</v>
      </c>
      <c r="D625" s="438">
        <v>3</v>
      </c>
      <c r="E625" s="438">
        <f t="shared" si="15"/>
        <v>7.08</v>
      </c>
      <c r="F625" s="437"/>
      <c r="G625" s="438">
        <v>0</v>
      </c>
      <c r="H625" s="439">
        <f t="shared" si="16"/>
        <v>7.08</v>
      </c>
      <c r="I625" s="443"/>
    </row>
    <row r="626" spans="1:9" s="186" customFormat="1" ht="15.75">
      <c r="A626" s="390" t="s">
        <v>528</v>
      </c>
      <c r="B626" s="390"/>
      <c r="C626" s="438">
        <v>2.0757</v>
      </c>
      <c r="D626" s="438">
        <v>3</v>
      </c>
      <c r="E626" s="438">
        <f t="shared" si="15"/>
        <v>6.23</v>
      </c>
      <c r="F626" s="437"/>
      <c r="G626" s="438">
        <v>0</v>
      </c>
      <c r="H626" s="439">
        <f t="shared" si="16"/>
        <v>6.23</v>
      </c>
      <c r="I626" s="443"/>
    </row>
    <row r="627" spans="1:9" s="186" customFormat="1" ht="15.75">
      <c r="A627" s="390" t="s">
        <v>529</v>
      </c>
      <c r="B627" s="390"/>
      <c r="C627" s="438">
        <v>0</v>
      </c>
      <c r="D627" s="438">
        <v>3</v>
      </c>
      <c r="E627" s="438">
        <f t="shared" si="15"/>
        <v>0</v>
      </c>
      <c r="F627" s="437" t="s">
        <v>275</v>
      </c>
      <c r="G627" s="438">
        <v>1.26</v>
      </c>
      <c r="H627" s="439"/>
      <c r="I627" s="443"/>
    </row>
    <row r="628" spans="1:9" s="186" customFormat="1" ht="15.75">
      <c r="A628" s="390" t="s">
        <v>530</v>
      </c>
      <c r="B628" s="390"/>
      <c r="C628" s="438">
        <v>0</v>
      </c>
      <c r="D628" s="438">
        <v>3</v>
      </c>
      <c r="E628" s="438">
        <f t="shared" si="15"/>
        <v>0</v>
      </c>
      <c r="F628" s="437"/>
      <c r="G628" s="438">
        <v>0</v>
      </c>
      <c r="H628" s="439"/>
      <c r="I628" s="443"/>
    </row>
    <row r="629" spans="1:9" s="186" customFormat="1" ht="15.75">
      <c r="A629" s="390" t="s">
        <v>531</v>
      </c>
      <c r="B629" s="390"/>
      <c r="C629" s="438">
        <v>0</v>
      </c>
      <c r="D629" s="438">
        <v>3</v>
      </c>
      <c r="E629" s="438">
        <f t="shared" si="15"/>
        <v>0</v>
      </c>
      <c r="F629" s="437" t="s">
        <v>404</v>
      </c>
      <c r="G629" s="438">
        <v>0.5</v>
      </c>
      <c r="H629" s="439"/>
      <c r="I629" s="443"/>
    </row>
    <row r="630" spans="1:9" s="186" customFormat="1" ht="15.75">
      <c r="A630" s="390" t="s">
        <v>532</v>
      </c>
      <c r="B630" s="390"/>
      <c r="C630" s="438">
        <v>0</v>
      </c>
      <c r="D630" s="438">
        <v>3</v>
      </c>
      <c r="E630" s="438">
        <f t="shared" si="15"/>
        <v>0</v>
      </c>
      <c r="F630" s="437"/>
      <c r="G630" s="438">
        <v>0</v>
      </c>
      <c r="H630" s="439"/>
      <c r="I630" s="436"/>
    </row>
    <row r="631" spans="1:9" s="186" customFormat="1" ht="15.75">
      <c r="A631" s="395"/>
      <c r="B631" s="396"/>
      <c r="C631" s="396"/>
      <c r="D631" s="396"/>
      <c r="E631" s="396"/>
      <c r="F631" s="397"/>
      <c r="G631" s="257" t="s">
        <v>6</v>
      </c>
      <c r="H631" s="343">
        <f>SUM(H595:H630)</f>
        <v>223.4778</v>
      </c>
      <c r="I631" s="436"/>
    </row>
    <row r="632" spans="1:9" s="186" customFormat="1" ht="15.75">
      <c r="A632" s="344"/>
      <c r="B632" s="344"/>
      <c r="C632" s="344"/>
      <c r="D632" s="344"/>
      <c r="E632" s="344"/>
      <c r="F632" s="344"/>
      <c r="G632" s="344"/>
      <c r="H632" s="345"/>
      <c r="I632" s="436"/>
    </row>
    <row r="633" spans="1:9" s="186" customFormat="1" ht="15.75">
      <c r="A633" s="344" t="s">
        <v>533</v>
      </c>
      <c r="B633" s="344"/>
      <c r="C633" s="344"/>
      <c r="D633" s="344"/>
      <c r="E633" s="344"/>
      <c r="F633" s="344"/>
      <c r="G633" s="344"/>
      <c r="H633" s="345"/>
      <c r="I633" s="436"/>
    </row>
    <row r="634" spans="1:9" s="186" customFormat="1" ht="31.5">
      <c r="A634" s="344" t="s">
        <v>249</v>
      </c>
      <c r="B634" s="344"/>
      <c r="C634" s="344"/>
      <c r="D634" s="344"/>
      <c r="E634" s="364" t="s">
        <v>352</v>
      </c>
      <c r="F634" s="364" t="s">
        <v>330</v>
      </c>
      <c r="G634" s="364" t="s">
        <v>332</v>
      </c>
      <c r="H634" s="347" t="s">
        <v>534</v>
      </c>
      <c r="I634" s="444"/>
    </row>
    <row r="635" spans="1:9" s="186" customFormat="1" ht="15.75">
      <c r="A635" s="441" t="s">
        <v>403</v>
      </c>
      <c r="B635" s="441"/>
      <c r="C635" s="441"/>
      <c r="D635" s="441"/>
      <c r="E635" s="442">
        <v>0.56</v>
      </c>
      <c r="F635" s="442">
        <v>0.6</v>
      </c>
      <c r="G635" s="442">
        <v>1</v>
      </c>
      <c r="H635" s="439">
        <f>ROUND(E635*F635*G635,2)</f>
        <v>0.34</v>
      </c>
      <c r="I635" s="444"/>
    </row>
    <row r="636" spans="1:9" s="186" customFormat="1" ht="15.75">
      <c r="A636" s="441" t="s">
        <v>404</v>
      </c>
      <c r="B636" s="441"/>
      <c r="C636" s="441"/>
      <c r="D636" s="441"/>
      <c r="E636" s="442">
        <v>1</v>
      </c>
      <c r="F636" s="442">
        <v>0.5</v>
      </c>
      <c r="G636" s="442">
        <v>2</v>
      </c>
      <c r="H636" s="439">
        <f>ROUND(E636*F636*G636,2)</f>
        <v>1</v>
      </c>
      <c r="I636" s="444"/>
    </row>
    <row r="637" spans="1:9" s="186" customFormat="1" ht="15.75">
      <c r="A637" s="441" t="s">
        <v>405</v>
      </c>
      <c r="B637" s="441"/>
      <c r="C637" s="441"/>
      <c r="D637" s="441"/>
      <c r="E637" s="442">
        <v>2</v>
      </c>
      <c r="F637" s="442">
        <v>1.2</v>
      </c>
      <c r="G637" s="442">
        <v>4</v>
      </c>
      <c r="H637" s="439">
        <f>ROUND(E637*F637*G637,2)</f>
        <v>9.6</v>
      </c>
      <c r="I637" s="445"/>
    </row>
    <row r="638" spans="1:9" s="186" customFormat="1" ht="15.75">
      <c r="A638" s="344"/>
      <c r="B638" s="344"/>
      <c r="C638" s="344"/>
      <c r="D638" s="344"/>
      <c r="E638" s="344"/>
      <c r="F638" s="344"/>
      <c r="G638" s="344"/>
      <c r="H638" s="345"/>
      <c r="I638" s="445"/>
    </row>
    <row r="639" spans="1:9" s="186" customFormat="1" ht="31.5">
      <c r="A639" s="344" t="s">
        <v>249</v>
      </c>
      <c r="B639" s="344"/>
      <c r="C639" s="344"/>
      <c r="D639" s="344"/>
      <c r="E639" s="364" t="s">
        <v>535</v>
      </c>
      <c r="F639" s="364" t="s">
        <v>536</v>
      </c>
      <c r="G639" s="364" t="s">
        <v>332</v>
      </c>
      <c r="H639" s="347" t="s">
        <v>534</v>
      </c>
      <c r="I639" s="445"/>
    </row>
    <row r="640" spans="1:9" s="186" customFormat="1" ht="15.75">
      <c r="A640" s="441" t="s">
        <v>537</v>
      </c>
      <c r="B640" s="441"/>
      <c r="C640" s="441"/>
      <c r="D640" s="441"/>
      <c r="E640" s="442">
        <f>(0.6+0.2)*(0.4+0.2)</f>
        <v>0.4800000000000001</v>
      </c>
      <c r="F640" s="442">
        <f>2*(0.5*0.8)+2*(0.5*0.6)</f>
        <v>1.4</v>
      </c>
      <c r="G640" s="442">
        <v>3</v>
      </c>
      <c r="H640" s="439">
        <f>ROUND(E640*F640*G640,2)</f>
        <v>2.02</v>
      </c>
      <c r="I640" s="436"/>
    </row>
    <row r="641" spans="1:9" s="186" customFormat="1" ht="15.75">
      <c r="A641" s="363"/>
      <c r="B641" s="363"/>
      <c r="C641" s="363"/>
      <c r="D641" s="363"/>
      <c r="E641" s="363"/>
      <c r="F641" s="363"/>
      <c r="G641" s="257" t="s">
        <v>6</v>
      </c>
      <c r="H641" s="446">
        <f>SUM(H635:H640)</f>
        <v>12.959999999999999</v>
      </c>
      <c r="I641" s="436"/>
    </row>
    <row r="642" spans="1:9" ht="15.75">
      <c r="A642" s="447"/>
      <c r="B642" s="447"/>
      <c r="C642" s="447"/>
      <c r="D642" s="447"/>
      <c r="E642" s="447"/>
      <c r="F642" s="447"/>
      <c r="G642" s="344"/>
      <c r="H642" s="345"/>
      <c r="I642" s="398"/>
    </row>
    <row r="643" spans="1:9" ht="15.75">
      <c r="A643" s="251" t="s">
        <v>538</v>
      </c>
      <c r="B643" s="251"/>
      <c r="C643" s="251"/>
      <c r="D643" s="251"/>
      <c r="E643" s="251"/>
      <c r="F643" s="272"/>
      <c r="G643" s="272"/>
      <c r="H643" s="253"/>
      <c r="I643" s="398"/>
    </row>
    <row r="644" spans="1:9" ht="31.5">
      <c r="A644" s="251" t="s">
        <v>249</v>
      </c>
      <c r="B644" s="251"/>
      <c r="C644" s="251"/>
      <c r="D644" s="251"/>
      <c r="E644" s="251"/>
      <c r="F644" s="272" t="s">
        <v>342</v>
      </c>
      <c r="G644" s="272" t="s">
        <v>332</v>
      </c>
      <c r="H644" s="253" t="s">
        <v>251</v>
      </c>
      <c r="I644" s="398"/>
    </row>
    <row r="645" spans="1:9" ht="15.75">
      <c r="A645" s="306" t="s">
        <v>539</v>
      </c>
      <c r="B645" s="306"/>
      <c r="C645" s="306"/>
      <c r="D645" s="306"/>
      <c r="E645" s="306"/>
      <c r="F645" s="321">
        <f>1.2*0.5</f>
        <v>0.6</v>
      </c>
      <c r="G645" s="321">
        <v>1</v>
      </c>
      <c r="H645" s="322">
        <f>ROUND(F645*G645,2)</f>
        <v>0.6</v>
      </c>
      <c r="I645" s="398"/>
    </row>
    <row r="646" spans="1:8" ht="15.75">
      <c r="A646" s="363"/>
      <c r="B646" s="363"/>
      <c r="C646" s="363"/>
      <c r="D646" s="363"/>
      <c r="E646" s="363"/>
      <c r="F646" s="363"/>
      <c r="G646" s="257" t="s">
        <v>6</v>
      </c>
      <c r="H646" s="327">
        <f>SUM(H645:H645)</f>
        <v>0.6</v>
      </c>
    </row>
    <row r="647" spans="1:8" ht="15.75">
      <c r="A647" s="447"/>
      <c r="B647" s="447"/>
      <c r="C647" s="447"/>
      <c r="D647" s="447"/>
      <c r="E647" s="447"/>
      <c r="F647" s="447"/>
      <c r="G647" s="344"/>
      <c r="H647" s="345"/>
    </row>
    <row r="648" spans="1:8" ht="15.75">
      <c r="A648" s="344" t="s">
        <v>413</v>
      </c>
      <c r="B648" s="344"/>
      <c r="C648" s="344"/>
      <c r="D648" s="344"/>
      <c r="E648" s="344"/>
      <c r="F648" s="344"/>
      <c r="G648" s="344"/>
      <c r="H648" s="345"/>
    </row>
    <row r="649" spans="1:8" ht="47.25">
      <c r="A649" s="344" t="s">
        <v>249</v>
      </c>
      <c r="B649" s="344"/>
      <c r="C649" s="374" t="s">
        <v>18</v>
      </c>
      <c r="D649" s="374" t="s">
        <v>414</v>
      </c>
      <c r="E649" s="374" t="s">
        <v>415</v>
      </c>
      <c r="F649" s="374" t="s">
        <v>6</v>
      </c>
      <c r="G649" s="374" t="s">
        <v>416</v>
      </c>
      <c r="H649" s="345" t="s">
        <v>417</v>
      </c>
    </row>
    <row r="650" spans="1:8" ht="15.75">
      <c r="A650" s="360" t="s">
        <v>540</v>
      </c>
      <c r="B650" s="360"/>
      <c r="C650" s="375">
        <f>H591+H631</f>
        <v>369.08040000000005</v>
      </c>
      <c r="D650" s="345"/>
      <c r="E650" s="345"/>
      <c r="F650" s="345"/>
      <c r="G650" s="345"/>
      <c r="H650" s="345"/>
    </row>
    <row r="651" spans="1:8" ht="31.5">
      <c r="A651" s="350" t="s">
        <v>429</v>
      </c>
      <c r="B651" s="350"/>
      <c r="C651" s="350"/>
      <c r="D651" s="375" t="s">
        <v>430</v>
      </c>
      <c r="E651" s="375">
        <f>1*0.33</f>
        <v>0.33</v>
      </c>
      <c r="F651" s="377">
        <f>C650*E651</f>
        <v>121.79653200000003</v>
      </c>
      <c r="G651" s="377">
        <v>1.09</v>
      </c>
      <c r="H651" s="368">
        <f>ROUND((F651*G651)/1000,2)</f>
        <v>0.13</v>
      </c>
    </row>
    <row r="652" spans="1:8" ht="15.75">
      <c r="A652" s="344"/>
      <c r="B652" s="344"/>
      <c r="C652" s="344"/>
      <c r="D652" s="344"/>
      <c r="E652" s="344"/>
      <c r="F652" s="344"/>
      <c r="G652" s="344"/>
      <c r="H652" s="345"/>
    </row>
    <row r="653" spans="1:8" ht="12.75" customHeight="1">
      <c r="A653" s="360" t="s">
        <v>432</v>
      </c>
      <c r="B653" s="360"/>
      <c r="C653" s="375">
        <f>H641</f>
        <v>12.959999999999999</v>
      </c>
      <c r="D653" s="345"/>
      <c r="E653" s="345"/>
      <c r="F653" s="345"/>
      <c r="G653" s="345"/>
      <c r="H653" s="345"/>
    </row>
    <row r="654" spans="1:8" ht="31.5">
      <c r="A654" s="350" t="s">
        <v>433</v>
      </c>
      <c r="B654" s="350"/>
      <c r="C654" s="350"/>
      <c r="D654" s="375" t="s">
        <v>434</v>
      </c>
      <c r="E654" s="375">
        <v>0.2549</v>
      </c>
      <c r="F654" s="377">
        <f>$C$356*E654</f>
        <v>18.398682000000004</v>
      </c>
      <c r="G654" s="377">
        <v>1.09</v>
      </c>
      <c r="H654" s="368">
        <f>ROUND((F654*G654)/1000,2)</f>
        <v>0.02</v>
      </c>
    </row>
    <row r="655" spans="1:8" ht="15.75">
      <c r="A655" s="376"/>
      <c r="B655" s="376"/>
      <c r="C655" s="376"/>
      <c r="D655" s="376"/>
      <c r="E655" s="376"/>
      <c r="F655" s="376"/>
      <c r="G655" s="376"/>
      <c r="H655" s="376"/>
    </row>
    <row r="656" spans="1:8" ht="15.75">
      <c r="A656" s="379"/>
      <c r="B656" s="379"/>
      <c r="C656" s="379"/>
      <c r="D656" s="379"/>
      <c r="E656" s="379"/>
      <c r="F656" s="379"/>
      <c r="G656" s="380" t="s">
        <v>6</v>
      </c>
      <c r="H656" s="381">
        <f>H651+H654</f>
        <v>0.15</v>
      </c>
    </row>
    <row r="657" spans="1:8" ht="15.75">
      <c r="A657" s="382"/>
      <c r="B657" s="382"/>
      <c r="C657" s="382"/>
      <c r="D657" s="382"/>
      <c r="E657" s="382"/>
      <c r="F657" s="382"/>
      <c r="G657" s="378"/>
      <c r="H657" s="378"/>
    </row>
    <row r="658" spans="1:8" ht="15.75">
      <c r="A658" s="383"/>
      <c r="B658" s="383"/>
      <c r="C658" s="383"/>
      <c r="D658" s="383"/>
      <c r="E658" s="384" t="s">
        <v>541</v>
      </c>
      <c r="F658" s="385"/>
      <c r="G658" s="286">
        <v>298</v>
      </c>
      <c r="H658" s="287" t="s">
        <v>439</v>
      </c>
    </row>
    <row r="659" spans="1:8" ht="15.75">
      <c r="A659" s="363"/>
      <c r="B659" s="363"/>
      <c r="C659" s="363"/>
      <c r="D659" s="363"/>
      <c r="E659" s="363"/>
      <c r="F659" s="363"/>
      <c r="G659" s="363"/>
      <c r="H659" s="363"/>
    </row>
    <row r="660" spans="1:8" ht="15.75">
      <c r="A660" s="383"/>
      <c r="B660" s="383"/>
      <c r="C660" s="383"/>
      <c r="D660" s="383"/>
      <c r="E660" s="386" t="s">
        <v>442</v>
      </c>
      <c r="F660" s="386"/>
      <c r="G660" s="386"/>
      <c r="H660" s="287">
        <f>H656*G658</f>
        <v>44.699999999999996</v>
      </c>
    </row>
    <row r="661" spans="1:8" ht="15.75">
      <c r="A661" s="383"/>
      <c r="B661" s="383"/>
      <c r="C661" s="383"/>
      <c r="D661" s="383"/>
      <c r="E661" s="386" t="s">
        <v>443</v>
      </c>
      <c r="F661" s="386"/>
      <c r="G661" s="386"/>
      <c r="H661" s="287">
        <f>H656*(G658-30)</f>
        <v>40.199999999999996</v>
      </c>
    </row>
    <row r="663" spans="1:8" ht="15.75">
      <c r="A663" s="344" t="s">
        <v>444</v>
      </c>
      <c r="B663" s="344"/>
      <c r="C663" s="344"/>
      <c r="D663" s="344"/>
      <c r="E663" s="344"/>
      <c r="F663" s="344"/>
      <c r="G663" s="344"/>
      <c r="H663" s="345"/>
    </row>
    <row r="664" spans="1:8" ht="15.75">
      <c r="A664" s="390" t="s">
        <v>542</v>
      </c>
      <c r="B664" s="390"/>
      <c r="C664" s="390"/>
      <c r="D664" s="390"/>
      <c r="E664" s="390"/>
      <c r="F664" s="390"/>
      <c r="G664" s="390"/>
      <c r="H664" s="391">
        <f>G658</f>
        <v>298</v>
      </c>
    </row>
    <row r="665" spans="1:7" ht="15">
      <c r="A665" s="419"/>
      <c r="B665" s="419"/>
      <c r="C665" s="419"/>
      <c r="D665" s="419"/>
      <c r="E665" s="419"/>
      <c r="F665" s="419"/>
      <c r="G665" s="419"/>
    </row>
    <row r="666" spans="1:8" ht="15.75">
      <c r="A666" s="390" t="s">
        <v>543</v>
      </c>
      <c r="B666" s="390"/>
      <c r="C666" s="390"/>
      <c r="D666" s="390"/>
      <c r="E666" s="390"/>
      <c r="F666" s="390"/>
      <c r="G666" s="390"/>
      <c r="H666" s="391">
        <v>10</v>
      </c>
    </row>
    <row r="667" spans="1:8" ht="15.75">
      <c r="A667" s="392"/>
      <c r="B667" s="392"/>
      <c r="C667" s="392"/>
      <c r="D667" s="392"/>
      <c r="E667" s="392"/>
      <c r="F667" s="392"/>
      <c r="G667" s="392"/>
      <c r="H667" s="392"/>
    </row>
    <row r="668" spans="1:8" ht="15.75">
      <c r="A668" s="390" t="s">
        <v>447</v>
      </c>
      <c r="B668" s="390"/>
      <c r="C668" s="390"/>
      <c r="D668" s="390"/>
      <c r="E668" s="390"/>
      <c r="F668" s="390"/>
      <c r="G668" s="390"/>
      <c r="H668" s="391">
        <f>(H664/H666)*2</f>
        <v>59.6</v>
      </c>
    </row>
    <row r="669" spans="1:8" ht="15.75">
      <c r="A669" s="356"/>
      <c r="B669" s="357"/>
      <c r="C669" s="357"/>
      <c r="D669" s="357"/>
      <c r="E669" s="357"/>
      <c r="F669" s="357"/>
      <c r="G669" s="357"/>
      <c r="H669" s="358"/>
    </row>
    <row r="670" spans="1:8" ht="15.75">
      <c r="A670" s="244" t="s">
        <v>240</v>
      </c>
      <c r="B670" s="244"/>
      <c r="C670" s="244"/>
      <c r="D670" s="244"/>
      <c r="E670" s="244"/>
      <c r="F670" s="244"/>
      <c r="G670" s="244"/>
      <c r="H670" s="244"/>
    </row>
    <row r="671" spans="1:8" ht="15.75">
      <c r="A671" s="356"/>
      <c r="B671" s="357"/>
      <c r="C671" s="357"/>
      <c r="D671" s="357"/>
      <c r="E671" s="357"/>
      <c r="F671" s="357"/>
      <c r="G671" s="357"/>
      <c r="H671" s="358"/>
    </row>
    <row r="672" spans="1:8" ht="15.75">
      <c r="A672" s="344" t="s">
        <v>413</v>
      </c>
      <c r="B672" s="344"/>
      <c r="C672" s="344"/>
      <c r="D672" s="344"/>
      <c r="E672" s="344"/>
      <c r="F672" s="344"/>
      <c r="G672" s="344"/>
      <c r="H672" s="345"/>
    </row>
    <row r="673" spans="1:8" ht="47.25">
      <c r="A673" s="344" t="s">
        <v>249</v>
      </c>
      <c r="B673" s="344"/>
      <c r="C673" s="374" t="s">
        <v>18</v>
      </c>
      <c r="D673" s="374" t="s">
        <v>414</v>
      </c>
      <c r="E673" s="374" t="s">
        <v>415</v>
      </c>
      <c r="F673" s="374" t="s">
        <v>6</v>
      </c>
      <c r="G673" s="374" t="s">
        <v>416</v>
      </c>
      <c r="H673" s="345" t="s">
        <v>417</v>
      </c>
    </row>
    <row r="674" spans="1:8" ht="15.75">
      <c r="A674" s="376"/>
      <c r="B674" s="376"/>
      <c r="C674" s="376"/>
      <c r="D674" s="376"/>
      <c r="E674" s="376"/>
      <c r="F674" s="376"/>
      <c r="G674" s="376"/>
      <c r="H674" s="376"/>
    </row>
    <row r="675" spans="1:8" ht="15.75">
      <c r="A675" s="379"/>
      <c r="B675" s="379"/>
      <c r="C675" s="379"/>
      <c r="D675" s="379"/>
      <c r="E675" s="379"/>
      <c r="F675" s="379"/>
      <c r="G675" s="380" t="s">
        <v>6</v>
      </c>
      <c r="H675" s="381">
        <v>0</v>
      </c>
    </row>
    <row r="676" spans="1:8" ht="15.75">
      <c r="A676" s="382"/>
      <c r="B676" s="382"/>
      <c r="C676" s="382"/>
      <c r="D676" s="382"/>
      <c r="E676" s="382"/>
      <c r="F676" s="382"/>
      <c r="G676" s="378"/>
      <c r="H676" s="378"/>
    </row>
    <row r="677" spans="1:8" ht="15.75">
      <c r="A677" s="383"/>
      <c r="B677" s="383"/>
      <c r="C677" s="383"/>
      <c r="D677" s="383"/>
      <c r="E677" s="384" t="s">
        <v>544</v>
      </c>
      <c r="F677" s="385"/>
      <c r="G677" s="286">
        <v>50</v>
      </c>
      <c r="H677" s="287" t="s">
        <v>439</v>
      </c>
    </row>
    <row r="678" spans="1:8" ht="15.75">
      <c r="A678" s="363"/>
      <c r="B678" s="363"/>
      <c r="C678" s="363"/>
      <c r="D678" s="363"/>
      <c r="E678" s="363"/>
      <c r="F678" s="363"/>
      <c r="G678" s="363"/>
      <c r="H678" s="363"/>
    </row>
    <row r="679" spans="1:8" ht="15.75">
      <c r="A679" s="448"/>
      <c r="B679" s="448"/>
      <c r="C679" s="448"/>
      <c r="D679" s="448"/>
      <c r="E679" s="386" t="s">
        <v>442</v>
      </c>
      <c r="F679" s="386"/>
      <c r="G679" s="386"/>
      <c r="H679" s="287">
        <f>H675*G677</f>
        <v>0</v>
      </c>
    </row>
    <row r="680" spans="1:8" ht="15.75">
      <c r="A680" s="448"/>
      <c r="B680" s="448"/>
      <c r="C680" s="448"/>
      <c r="D680" s="448"/>
      <c r="E680" s="386" t="s">
        <v>443</v>
      </c>
      <c r="F680" s="386"/>
      <c r="G680" s="386"/>
      <c r="H680" s="287">
        <f>H675*(G677-30)</f>
        <v>0</v>
      </c>
    </row>
    <row r="681" spans="1:8" ht="15.75">
      <c r="A681" s="449"/>
      <c r="B681" s="449"/>
      <c r="C681" s="449"/>
      <c r="D681" s="449"/>
      <c r="E681" s="449"/>
      <c r="F681" s="449"/>
      <c r="G681" s="449"/>
      <c r="H681" s="449"/>
    </row>
    <row r="682" spans="1:8" ht="15.75">
      <c r="A682" s="344" t="s">
        <v>444</v>
      </c>
      <c r="B682" s="344"/>
      <c r="C682" s="344"/>
      <c r="D682" s="344"/>
      <c r="E682" s="344"/>
      <c r="F682" s="344"/>
      <c r="G682" s="344"/>
      <c r="H682" s="345"/>
    </row>
    <row r="683" spans="1:8" ht="15.75">
      <c r="A683" s="390" t="s">
        <v>545</v>
      </c>
      <c r="B683" s="390"/>
      <c r="C683" s="390"/>
      <c r="D683" s="390"/>
      <c r="E683" s="390"/>
      <c r="F683" s="390"/>
      <c r="G683" s="390"/>
      <c r="H683" s="391">
        <f>G677</f>
        <v>50</v>
      </c>
    </row>
    <row r="684" spans="1:8" ht="15.75">
      <c r="A684" s="392"/>
      <c r="B684" s="392"/>
      <c r="C684" s="392"/>
      <c r="D684" s="392"/>
      <c r="E684" s="392"/>
      <c r="F684" s="392"/>
      <c r="G684" s="392"/>
      <c r="H684" s="392"/>
    </row>
    <row r="685" spans="1:8" ht="15.75">
      <c r="A685" s="390" t="s">
        <v>546</v>
      </c>
      <c r="B685" s="390"/>
      <c r="C685" s="390"/>
      <c r="D685" s="390"/>
      <c r="E685" s="390"/>
      <c r="F685" s="390"/>
      <c r="G685" s="390"/>
      <c r="H685" s="391">
        <v>10</v>
      </c>
    </row>
    <row r="686" spans="1:8" ht="15.75">
      <c r="A686" s="392"/>
      <c r="B686" s="392"/>
      <c r="C686" s="392"/>
      <c r="D686" s="392"/>
      <c r="E686" s="392"/>
      <c r="F686" s="392"/>
      <c r="G686" s="392"/>
      <c r="H686" s="392"/>
    </row>
    <row r="687" spans="1:8" ht="15.75">
      <c r="A687" s="390" t="s">
        <v>447</v>
      </c>
      <c r="B687" s="390"/>
      <c r="C687" s="390"/>
      <c r="D687" s="390"/>
      <c r="E687" s="390"/>
      <c r="F687" s="390"/>
      <c r="G687" s="390"/>
      <c r="H687" s="391">
        <f>(H683/H685)*2</f>
        <v>10</v>
      </c>
    </row>
  </sheetData>
  <sheetProtection/>
  <mergeCells count="727">
    <mergeCell ref="A1:H1"/>
    <mergeCell ref="A2:H2"/>
    <mergeCell ref="A3:H3"/>
    <mergeCell ref="A4:H4"/>
    <mergeCell ref="A5:H5"/>
    <mergeCell ref="A6:H6"/>
    <mergeCell ref="A7:H7"/>
    <mergeCell ref="Q7:X7"/>
    <mergeCell ref="Y7:AF7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DI7:DP7"/>
    <mergeCell ref="DQ7:DX7"/>
    <mergeCell ref="DY7:EF7"/>
    <mergeCell ref="EG7:EN7"/>
    <mergeCell ref="EO7:EV7"/>
    <mergeCell ref="EW7:FD7"/>
    <mergeCell ref="FE7:FL7"/>
    <mergeCell ref="FM7:FT7"/>
    <mergeCell ref="FU7:GB7"/>
    <mergeCell ref="GC7:GJ7"/>
    <mergeCell ref="GK7:GR7"/>
    <mergeCell ref="GS7:GZ7"/>
    <mergeCell ref="HA7:HH7"/>
    <mergeCell ref="HI7:HP7"/>
    <mergeCell ref="HQ7:HX7"/>
    <mergeCell ref="HY7:IF7"/>
    <mergeCell ref="IG7:IN7"/>
    <mergeCell ref="IO7:IV7"/>
    <mergeCell ref="A8:H8"/>
    <mergeCell ref="A9:E9"/>
    <mergeCell ref="A10:E10"/>
    <mergeCell ref="A11:H11"/>
    <mergeCell ref="A12:E12"/>
    <mergeCell ref="A13:E13"/>
    <mergeCell ref="A14:E14"/>
    <mergeCell ref="A15:E15"/>
    <mergeCell ref="A16:E16"/>
    <mergeCell ref="A17:H17"/>
    <mergeCell ref="A18:H18"/>
    <mergeCell ref="Q18:X18"/>
    <mergeCell ref="Y18:AF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IO18:IV18"/>
    <mergeCell ref="A19:H19"/>
    <mergeCell ref="A20:H20"/>
    <mergeCell ref="Q20:X20"/>
    <mergeCell ref="Y20:AF20"/>
    <mergeCell ref="AG20:AN20"/>
    <mergeCell ref="AO20:AV20"/>
    <mergeCell ref="AW20:BD20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IO20:IV20"/>
    <mergeCell ref="A21:F21"/>
    <mergeCell ref="A22:F22"/>
    <mergeCell ref="A23:F23"/>
    <mergeCell ref="A24:F24"/>
    <mergeCell ref="A25:F25"/>
    <mergeCell ref="A26:F26"/>
    <mergeCell ref="A28:H28"/>
    <mergeCell ref="A29:F29"/>
    <mergeCell ref="A30:F30"/>
    <mergeCell ref="A31:F31"/>
    <mergeCell ref="A32:F32"/>
    <mergeCell ref="A33:H33"/>
    <mergeCell ref="A34:H34"/>
    <mergeCell ref="Q34:X34"/>
    <mergeCell ref="Y34:AF34"/>
    <mergeCell ref="AG34:AN34"/>
    <mergeCell ref="AO34:AV34"/>
    <mergeCell ref="AW34:BD34"/>
    <mergeCell ref="BE34:BL34"/>
    <mergeCell ref="BM34:BT34"/>
    <mergeCell ref="BU34:CB34"/>
    <mergeCell ref="CC34:CJ34"/>
    <mergeCell ref="CK34:CR34"/>
    <mergeCell ref="CS34:CZ34"/>
    <mergeCell ref="DA34:DH34"/>
    <mergeCell ref="DI34:DP34"/>
    <mergeCell ref="DQ34:DX34"/>
    <mergeCell ref="DY34:EF34"/>
    <mergeCell ref="EG34:EN34"/>
    <mergeCell ref="EO34:EV34"/>
    <mergeCell ref="EW34:FD34"/>
    <mergeCell ref="FE34:FL34"/>
    <mergeCell ref="FM34:FT34"/>
    <mergeCell ref="FU34:GB34"/>
    <mergeCell ref="GC34:GJ34"/>
    <mergeCell ref="GK34:GR34"/>
    <mergeCell ref="GS34:GZ34"/>
    <mergeCell ref="HA34:HH34"/>
    <mergeCell ref="HI34:HP34"/>
    <mergeCell ref="HQ34:HX34"/>
    <mergeCell ref="HY34:IF34"/>
    <mergeCell ref="IG34:IN34"/>
    <mergeCell ref="IO34:IV34"/>
    <mergeCell ref="A35:H35"/>
    <mergeCell ref="A36:H36"/>
    <mergeCell ref="A37:H37"/>
    <mergeCell ref="D38:E38"/>
    <mergeCell ref="A50:H50"/>
    <mergeCell ref="A52:F52"/>
    <mergeCell ref="A53:H53"/>
    <mergeCell ref="A54:H54"/>
    <mergeCell ref="D55:E55"/>
    <mergeCell ref="A76:F76"/>
    <mergeCell ref="A77:H77"/>
    <mergeCell ref="A78:H78"/>
    <mergeCell ref="D79:E79"/>
    <mergeCell ref="A100:F100"/>
    <mergeCell ref="A101:H101"/>
    <mergeCell ref="A102:H102"/>
    <mergeCell ref="D103:E103"/>
    <mergeCell ref="A124:F124"/>
    <mergeCell ref="A125:H125"/>
    <mergeCell ref="A126:F126"/>
    <mergeCell ref="A127:H127"/>
    <mergeCell ref="A128:H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F140"/>
    <mergeCell ref="A141:H141"/>
    <mergeCell ref="A142:H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F154"/>
    <mergeCell ref="A155:H155"/>
    <mergeCell ref="A156:H156"/>
    <mergeCell ref="A157:C157"/>
    <mergeCell ref="A158:C158"/>
    <mergeCell ref="A159:C159"/>
    <mergeCell ref="A160:C160"/>
    <mergeCell ref="A161:F161"/>
    <mergeCell ref="A162:H162"/>
    <mergeCell ref="A163:H163"/>
    <mergeCell ref="A164:E164"/>
    <mergeCell ref="A165:E165"/>
    <mergeCell ref="A166:E166"/>
    <mergeCell ref="A167:E167"/>
    <mergeCell ref="A168:F168"/>
    <mergeCell ref="A169:H169"/>
    <mergeCell ref="A170:H170"/>
    <mergeCell ref="A171:C171"/>
    <mergeCell ref="A172:C172"/>
    <mergeCell ref="A173:C173"/>
    <mergeCell ref="A174:C174"/>
    <mergeCell ref="A175:F175"/>
    <mergeCell ref="A176:H176"/>
    <mergeCell ref="A177:H177"/>
    <mergeCell ref="A178:C178"/>
    <mergeCell ref="A179:C179"/>
    <mergeCell ref="A180:C180"/>
    <mergeCell ref="A181:C181"/>
    <mergeCell ref="A182:F182"/>
    <mergeCell ref="A183:H183"/>
    <mergeCell ref="A184:H184"/>
    <mergeCell ref="A185:D185"/>
    <mergeCell ref="A186:D186"/>
    <mergeCell ref="A187:D187"/>
    <mergeCell ref="A188:D188"/>
    <mergeCell ref="A189:F189"/>
    <mergeCell ref="A190:H190"/>
    <mergeCell ref="A191:H191"/>
    <mergeCell ref="A192:E192"/>
    <mergeCell ref="A193:E193"/>
    <mergeCell ref="A194:E194"/>
    <mergeCell ref="A195:E195"/>
    <mergeCell ref="A196:F196"/>
    <mergeCell ref="A197:H197"/>
    <mergeCell ref="A198:H198"/>
    <mergeCell ref="A199:E199"/>
    <mergeCell ref="A200:E200"/>
    <mergeCell ref="A201:D201"/>
    <mergeCell ref="A202:D202"/>
    <mergeCell ref="A203:F203"/>
    <mergeCell ref="A204:H204"/>
    <mergeCell ref="A205:H205"/>
    <mergeCell ref="A206:E206"/>
    <mergeCell ref="A207:E207"/>
    <mergeCell ref="A208:E208"/>
    <mergeCell ref="A209:E209"/>
    <mergeCell ref="A210:F210"/>
    <mergeCell ref="A211:H211"/>
    <mergeCell ref="A212:H212"/>
    <mergeCell ref="A213:E213"/>
    <mergeCell ref="A214:E214"/>
    <mergeCell ref="A215:E215"/>
    <mergeCell ref="A216:E216"/>
    <mergeCell ref="A217:E217"/>
    <mergeCell ref="A218:E218"/>
    <mergeCell ref="A219:E219"/>
    <mergeCell ref="A220:F220"/>
    <mergeCell ref="A221:H221"/>
    <mergeCell ref="A222:H222"/>
    <mergeCell ref="A223:C223"/>
    <mergeCell ref="A224:C224"/>
    <mergeCell ref="A225:C225"/>
    <mergeCell ref="A226:C226"/>
    <mergeCell ref="A227:C227"/>
    <mergeCell ref="A228:C228"/>
    <mergeCell ref="A229:H229"/>
    <mergeCell ref="A230:H230"/>
    <mergeCell ref="A238:H238"/>
    <mergeCell ref="A239:H239"/>
    <mergeCell ref="A240:E240"/>
    <mergeCell ref="A241:E241"/>
    <mergeCell ref="A242:E242"/>
    <mergeCell ref="A243:F243"/>
    <mergeCell ref="A244:E244"/>
    <mergeCell ref="A247:F247"/>
    <mergeCell ref="A248:H248"/>
    <mergeCell ref="A249:E249"/>
    <mergeCell ref="A254:F254"/>
    <mergeCell ref="A261:H261"/>
    <mergeCell ref="A262:H262"/>
    <mergeCell ref="A263:H263"/>
    <mergeCell ref="A264:E264"/>
    <mergeCell ref="A265:E265"/>
    <mergeCell ref="A266:F266"/>
    <mergeCell ref="A267:H267"/>
    <mergeCell ref="A268:H268"/>
    <mergeCell ref="F269:G269"/>
    <mergeCell ref="A271:C271"/>
    <mergeCell ref="A272:C272"/>
    <mergeCell ref="A273:C273"/>
    <mergeCell ref="A274:C274"/>
    <mergeCell ref="A275:F275"/>
    <mergeCell ref="A276:H276"/>
    <mergeCell ref="A277:H277"/>
    <mergeCell ref="A279:H279"/>
    <mergeCell ref="A280:B280"/>
    <mergeCell ref="E280:F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F317"/>
    <mergeCell ref="A318:H318"/>
    <mergeCell ref="A319:H319"/>
    <mergeCell ref="A326:F326"/>
    <mergeCell ref="A327:H327"/>
    <mergeCell ref="A328:H328"/>
    <mergeCell ref="A329:D329"/>
    <mergeCell ref="A330:D330"/>
    <mergeCell ref="A331:F331"/>
    <mergeCell ref="A332:H332"/>
    <mergeCell ref="A333:H333"/>
    <mergeCell ref="A334:E334"/>
    <mergeCell ref="A335:E335"/>
    <mergeCell ref="A336:F336"/>
    <mergeCell ref="A337:H337"/>
    <mergeCell ref="A338:H338"/>
    <mergeCell ref="A339:E339"/>
    <mergeCell ref="A340:E340"/>
    <mergeCell ref="A341:F341"/>
    <mergeCell ref="A342:H342"/>
    <mergeCell ref="A343:H343"/>
    <mergeCell ref="A344:B344"/>
    <mergeCell ref="A345:B345"/>
    <mergeCell ref="D345:H345"/>
    <mergeCell ref="A346:C346"/>
    <mergeCell ref="A347:C347"/>
    <mergeCell ref="A348:C348"/>
    <mergeCell ref="A349:H349"/>
    <mergeCell ref="A350:B350"/>
    <mergeCell ref="D350:H350"/>
    <mergeCell ref="A351:C351"/>
    <mergeCell ref="A352:H352"/>
    <mergeCell ref="A353:B353"/>
    <mergeCell ref="D353:H353"/>
    <mergeCell ref="A354:C354"/>
    <mergeCell ref="A355:H355"/>
    <mergeCell ref="A356:B356"/>
    <mergeCell ref="D356:H356"/>
    <mergeCell ref="A357:C357"/>
    <mergeCell ref="A358:H358"/>
    <mergeCell ref="A359:B359"/>
    <mergeCell ref="D359:H359"/>
    <mergeCell ref="A360:C360"/>
    <mergeCell ref="A361:H361"/>
    <mergeCell ref="A362:F362"/>
    <mergeCell ref="A363:H363"/>
    <mergeCell ref="A364:D364"/>
    <mergeCell ref="E364:F364"/>
    <mergeCell ref="A365:H365"/>
    <mergeCell ref="E366:G366"/>
    <mergeCell ref="E367:G367"/>
    <mergeCell ref="E368:G368"/>
    <mergeCell ref="E369:G369"/>
    <mergeCell ref="A371:H371"/>
    <mergeCell ref="A373:G373"/>
    <mergeCell ref="A374:G374"/>
    <mergeCell ref="A375:H375"/>
    <mergeCell ref="A376:G376"/>
    <mergeCell ref="A378:H378"/>
    <mergeCell ref="A379:H379"/>
    <mergeCell ref="A380:H380"/>
    <mergeCell ref="A381:H381"/>
    <mergeCell ref="A382:E382"/>
    <mergeCell ref="A383:E383"/>
    <mergeCell ref="A384:F384"/>
    <mergeCell ref="A385:H385"/>
    <mergeCell ref="A386:H386"/>
    <mergeCell ref="A387:E387"/>
    <mergeCell ref="A388:E388"/>
    <mergeCell ref="A389:F389"/>
    <mergeCell ref="A390:H390"/>
    <mergeCell ref="A391:H391"/>
    <mergeCell ref="F392:G392"/>
    <mergeCell ref="A394:C394"/>
    <mergeCell ref="A395:C395"/>
    <mergeCell ref="A396:C396"/>
    <mergeCell ref="A397:C397"/>
    <mergeCell ref="A398:C398"/>
    <mergeCell ref="A399:C399"/>
    <mergeCell ref="A400:F400"/>
    <mergeCell ref="A401:H401"/>
    <mergeCell ref="A402:H402"/>
    <mergeCell ref="A408:F408"/>
    <mergeCell ref="A409:H409"/>
    <mergeCell ref="A410:D410"/>
    <mergeCell ref="A411:D411"/>
    <mergeCell ref="A412:F412"/>
    <mergeCell ref="A413:H413"/>
    <mergeCell ref="A414:H414"/>
    <mergeCell ref="A415:B415"/>
    <mergeCell ref="A416:B416"/>
    <mergeCell ref="A417:C417"/>
    <mergeCell ref="A418:H418"/>
    <mergeCell ref="A419:B419"/>
    <mergeCell ref="A420:C420"/>
    <mergeCell ref="A421:H421"/>
    <mergeCell ref="A422:B422"/>
    <mergeCell ref="A423:C423"/>
    <mergeCell ref="A424:H424"/>
    <mergeCell ref="A425:B425"/>
    <mergeCell ref="D425:H425"/>
    <mergeCell ref="A426:C426"/>
    <mergeCell ref="A427:H427"/>
    <mergeCell ref="A428:B428"/>
    <mergeCell ref="A429:C429"/>
    <mergeCell ref="A430:H430"/>
    <mergeCell ref="A431:F431"/>
    <mergeCell ref="A432:H432"/>
    <mergeCell ref="A433:D433"/>
    <mergeCell ref="E433:F433"/>
    <mergeCell ref="A434:H434"/>
    <mergeCell ref="E435:G435"/>
    <mergeCell ref="A437:H437"/>
    <mergeCell ref="A438:G438"/>
    <mergeCell ref="A440:G440"/>
    <mergeCell ref="A441:H441"/>
    <mergeCell ref="A442:G442"/>
    <mergeCell ref="A444:H444"/>
    <mergeCell ref="A445:H445"/>
    <mergeCell ref="A446:H446"/>
    <mergeCell ref="A447:H447"/>
    <mergeCell ref="A448:D448"/>
    <mergeCell ref="A449:D449"/>
    <mergeCell ref="A450:D450"/>
    <mergeCell ref="A451:F451"/>
    <mergeCell ref="A452:H452"/>
    <mergeCell ref="A453:H453"/>
    <mergeCell ref="A454:D454"/>
    <mergeCell ref="A455:D455"/>
    <mergeCell ref="A456:D456"/>
    <mergeCell ref="A457:F457"/>
    <mergeCell ref="A458:H458"/>
    <mergeCell ref="A459:H459"/>
    <mergeCell ref="A460:E460"/>
    <mergeCell ref="A461:E461"/>
    <mergeCell ref="A462:F462"/>
    <mergeCell ref="A463:H463"/>
    <mergeCell ref="A464:H464"/>
    <mergeCell ref="A465:H465"/>
    <mergeCell ref="A466:H466"/>
    <mergeCell ref="A467:E467"/>
    <mergeCell ref="A468:E468"/>
    <mergeCell ref="A469:E469"/>
    <mergeCell ref="A470:F470"/>
    <mergeCell ref="A471:H471"/>
    <mergeCell ref="A472:H472"/>
    <mergeCell ref="A473:C473"/>
    <mergeCell ref="A474:C474"/>
    <mergeCell ref="A475:C475"/>
    <mergeCell ref="A476:C476"/>
    <mergeCell ref="A477:C477"/>
    <mergeCell ref="A478:F478"/>
    <mergeCell ref="A479:H479"/>
    <mergeCell ref="A480:H480"/>
    <mergeCell ref="A481:D481"/>
    <mergeCell ref="A482:D482"/>
    <mergeCell ref="A483:D483"/>
    <mergeCell ref="A484:F484"/>
    <mergeCell ref="A485:H485"/>
    <mergeCell ref="A486:H486"/>
    <mergeCell ref="A487:E487"/>
    <mergeCell ref="A488:E488"/>
    <mergeCell ref="A489:F489"/>
    <mergeCell ref="A491:H491"/>
    <mergeCell ref="A492:B492"/>
    <mergeCell ref="A493:B493"/>
    <mergeCell ref="A494:C494"/>
    <mergeCell ref="A495:B495"/>
    <mergeCell ref="A496:C496"/>
    <mergeCell ref="A497:H497"/>
    <mergeCell ref="A498:B498"/>
    <mergeCell ref="D498:H498"/>
    <mergeCell ref="A499:C499"/>
    <mergeCell ref="A500:H500"/>
    <mergeCell ref="A501:F501"/>
    <mergeCell ref="A502:H502"/>
    <mergeCell ref="A503:D503"/>
    <mergeCell ref="E503:F503"/>
    <mergeCell ref="A504:H504"/>
    <mergeCell ref="E505:G505"/>
    <mergeCell ref="E506:G506"/>
    <mergeCell ref="A508:H508"/>
    <mergeCell ref="A509:G509"/>
    <mergeCell ref="A511:G511"/>
    <mergeCell ref="A512:H512"/>
    <mergeCell ref="A513:G513"/>
    <mergeCell ref="A514:H514"/>
    <mergeCell ref="A515:H515"/>
    <mergeCell ref="A516:H516"/>
    <mergeCell ref="A517:H517"/>
    <mergeCell ref="A518:E518"/>
    <mergeCell ref="A519:E519"/>
    <mergeCell ref="A520:F520"/>
    <mergeCell ref="A521:H521"/>
    <mergeCell ref="A522:H522"/>
    <mergeCell ref="A525:F525"/>
    <mergeCell ref="A526:H526"/>
    <mergeCell ref="A527:H527"/>
    <mergeCell ref="A528:C528"/>
    <mergeCell ref="A529:C529"/>
    <mergeCell ref="A530:F530"/>
    <mergeCell ref="A531:H531"/>
    <mergeCell ref="A532:H532"/>
    <mergeCell ref="A533:B533"/>
    <mergeCell ref="A534:B534"/>
    <mergeCell ref="A535:C535"/>
    <mergeCell ref="A536:H536"/>
    <mergeCell ref="A537:F537"/>
    <mergeCell ref="A538:H538"/>
    <mergeCell ref="A539:D539"/>
    <mergeCell ref="E539:F539"/>
    <mergeCell ref="A540:H540"/>
    <mergeCell ref="E541:G541"/>
    <mergeCell ref="E542:G542"/>
    <mergeCell ref="A544:H544"/>
    <mergeCell ref="A545:G545"/>
    <mergeCell ref="A547:G547"/>
    <mergeCell ref="A548:H548"/>
    <mergeCell ref="A549:G549"/>
    <mergeCell ref="A550:H550"/>
    <mergeCell ref="A551:H551"/>
    <mergeCell ref="A552:H552"/>
    <mergeCell ref="A554:H554"/>
    <mergeCell ref="A555:B555"/>
    <mergeCell ref="A556:B556"/>
    <mergeCell ref="A557:C557"/>
    <mergeCell ref="A558:H558"/>
    <mergeCell ref="A559:B559"/>
    <mergeCell ref="A560:B560"/>
    <mergeCell ref="A561:H561"/>
    <mergeCell ref="A562:F562"/>
    <mergeCell ref="A563:H563"/>
    <mergeCell ref="A564:D564"/>
    <mergeCell ref="E564:F564"/>
    <mergeCell ref="A565:H565"/>
    <mergeCell ref="E566:G566"/>
    <mergeCell ref="E567:G567"/>
    <mergeCell ref="A569:H569"/>
    <mergeCell ref="A570:G570"/>
    <mergeCell ref="A572:G572"/>
    <mergeCell ref="A573:H573"/>
    <mergeCell ref="A574:G574"/>
    <mergeCell ref="A575:H575"/>
    <mergeCell ref="A576:H576"/>
    <mergeCell ref="A577:H577"/>
    <mergeCell ref="A578:H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F591"/>
    <mergeCell ref="A592:H592"/>
    <mergeCell ref="A593:H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F631"/>
    <mergeCell ref="A632:H632"/>
    <mergeCell ref="A633:H633"/>
    <mergeCell ref="A634:D634"/>
    <mergeCell ref="A635:D635"/>
    <mergeCell ref="A636:D636"/>
    <mergeCell ref="A637:D637"/>
    <mergeCell ref="A638:H638"/>
    <mergeCell ref="A639:D639"/>
    <mergeCell ref="A640:D640"/>
    <mergeCell ref="A641:F641"/>
    <mergeCell ref="A642:H642"/>
    <mergeCell ref="A643:E643"/>
    <mergeCell ref="A644:E644"/>
    <mergeCell ref="A645:E645"/>
    <mergeCell ref="A646:F646"/>
    <mergeCell ref="A647:H647"/>
    <mergeCell ref="A648:H648"/>
    <mergeCell ref="A649:B649"/>
    <mergeCell ref="A650:B650"/>
    <mergeCell ref="D650:H650"/>
    <mergeCell ref="A651:C651"/>
    <mergeCell ref="A652:H652"/>
    <mergeCell ref="A653:B653"/>
    <mergeCell ref="D653:H653"/>
    <mergeCell ref="A654:C654"/>
    <mergeCell ref="A655:H655"/>
    <mergeCell ref="A656:F656"/>
    <mergeCell ref="A657:H657"/>
    <mergeCell ref="A658:D658"/>
    <mergeCell ref="E658:F658"/>
    <mergeCell ref="A659:H659"/>
    <mergeCell ref="E660:G660"/>
    <mergeCell ref="E661:G661"/>
    <mergeCell ref="A663:H663"/>
    <mergeCell ref="A664:G664"/>
    <mergeCell ref="A666:G666"/>
    <mergeCell ref="A667:H667"/>
    <mergeCell ref="A668:G668"/>
    <mergeCell ref="A669:H669"/>
    <mergeCell ref="A670:H670"/>
    <mergeCell ref="A671:H671"/>
    <mergeCell ref="A672:H672"/>
    <mergeCell ref="A673:B673"/>
    <mergeCell ref="A674:H674"/>
    <mergeCell ref="A675:F675"/>
    <mergeCell ref="A676:H676"/>
    <mergeCell ref="A677:D677"/>
    <mergeCell ref="E677:F677"/>
    <mergeCell ref="A678:H678"/>
    <mergeCell ref="A679:D679"/>
    <mergeCell ref="E679:G679"/>
    <mergeCell ref="A680:D680"/>
    <mergeCell ref="E680:G680"/>
    <mergeCell ref="A681:H681"/>
    <mergeCell ref="A682:H682"/>
    <mergeCell ref="A683:G683"/>
    <mergeCell ref="A684:H684"/>
    <mergeCell ref="A685:G685"/>
    <mergeCell ref="A686:H686"/>
    <mergeCell ref="A687:G687"/>
    <mergeCell ref="C280:C281"/>
    <mergeCell ref="D269:D270"/>
    <mergeCell ref="D280:D281"/>
    <mergeCell ref="D392:D393"/>
    <mergeCell ref="E269:E270"/>
    <mergeCell ref="E392:E393"/>
    <mergeCell ref="F38:F39"/>
    <mergeCell ref="F55:F56"/>
    <mergeCell ref="F79:F80"/>
    <mergeCell ref="F103:F104"/>
    <mergeCell ref="G38:G39"/>
    <mergeCell ref="G55:G56"/>
    <mergeCell ref="G79:G80"/>
    <mergeCell ref="G103:G104"/>
    <mergeCell ref="G280:G281"/>
    <mergeCell ref="H38:H39"/>
    <mergeCell ref="H55:H56"/>
    <mergeCell ref="H79:H80"/>
    <mergeCell ref="H103:H104"/>
    <mergeCell ref="H269:H270"/>
    <mergeCell ref="H280:H281"/>
    <mergeCell ref="H392:H393"/>
    <mergeCell ref="I5:I248"/>
    <mergeCell ref="A269:C270"/>
    <mergeCell ref="A392:C393"/>
  </mergeCells>
  <printOptions/>
  <pageMargins left="1.18" right="0.79" top="1.18" bottom="0.79" header="0" footer="0.51"/>
  <pageSetup horizontalDpi="600" verticalDpi="600" orientation="portrait" paperSize="9" scale="69"/>
  <headerFooter>
    <oddHeader>&amp;C&amp;G&amp;"-"&amp;12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9"/>
  <sheetViews>
    <sheetView view="pageBreakPreview" zoomScale="130" zoomScaleNormal="145" zoomScaleSheetLayoutView="130" workbookViewId="0" topLeftCell="A1">
      <selection activeCell="E7" sqref="E7"/>
    </sheetView>
  </sheetViews>
  <sheetFormatPr defaultColWidth="9.140625" defaultRowHeight="12.75"/>
  <cols>
    <col min="1" max="1" width="15.8515625" style="188" customWidth="1"/>
    <col min="2" max="2" width="72.8515625" style="188" customWidth="1"/>
    <col min="3" max="3" width="7.421875" style="188" customWidth="1"/>
    <col min="4" max="4" width="9.00390625" style="188" customWidth="1"/>
    <col min="5" max="5" width="7.8515625" style="188" customWidth="1"/>
    <col min="6" max="6" width="9.57421875" style="188" customWidth="1"/>
  </cols>
  <sheetData>
    <row r="1" spans="1:6" s="182" customFormat="1" ht="15.75">
      <c r="A1" s="189" t="s">
        <v>547</v>
      </c>
      <c r="B1" s="190"/>
      <c r="C1" s="190"/>
      <c r="D1" s="190"/>
      <c r="E1" s="190"/>
      <c r="F1" s="190"/>
    </row>
    <row r="2" spans="1:6" s="182" customFormat="1" ht="15.75">
      <c r="A2" s="191"/>
      <c r="B2" s="192"/>
      <c r="C2" s="192"/>
      <c r="D2" s="192"/>
      <c r="E2" s="192"/>
      <c r="F2" s="193"/>
    </row>
    <row r="3" spans="1:6" s="182" customFormat="1" ht="33" customHeight="1">
      <c r="A3" s="194" t="str">
        <f>'ANEXO PB III Mem. de cálculo'!A3</f>
        <v>OBRA: CONTRATAÇÃO DE EMPRESA PARA RECUPERAÇÃO DOS PRÉDIOS DA DEFENSORIA PÚBLICA DO ESTADO DE RORAIMA NA CAPITAL E NOS MUNICÍPIO DO INTERIOR</v>
      </c>
      <c r="B3" s="195"/>
      <c r="C3" s="195"/>
      <c r="D3" s="195"/>
      <c r="E3" s="195"/>
      <c r="F3" s="196"/>
    </row>
    <row r="4" spans="1:6" s="182" customFormat="1" ht="15.75">
      <c r="A4" s="197"/>
      <c r="B4" s="198"/>
      <c r="C4" s="198"/>
      <c r="D4" s="198"/>
      <c r="E4" s="198"/>
      <c r="F4" s="199"/>
    </row>
    <row r="5" spans="1:6" s="183" customFormat="1" ht="15.75">
      <c r="A5" s="200" t="s">
        <v>548</v>
      </c>
      <c r="B5" s="201"/>
      <c r="C5" s="201"/>
      <c r="D5" s="201"/>
      <c r="E5" s="201"/>
      <c r="F5" s="201"/>
    </row>
    <row r="6" spans="1:6" s="183" customFormat="1" ht="15.75">
      <c r="A6" s="202" t="s">
        <v>549</v>
      </c>
      <c r="B6" s="203" t="s">
        <v>42</v>
      </c>
      <c r="C6" s="190" t="s">
        <v>550</v>
      </c>
      <c r="D6" s="204" t="s">
        <v>24</v>
      </c>
      <c r="E6" s="205" t="s">
        <v>6</v>
      </c>
      <c r="F6" s="205">
        <f>SUM(F8:F9)</f>
        <v>1.5499999999999998</v>
      </c>
    </row>
    <row r="7" spans="1:6" s="183" customFormat="1" ht="15.75">
      <c r="A7" s="189" t="s">
        <v>551</v>
      </c>
      <c r="B7" s="205" t="s">
        <v>552</v>
      </c>
      <c r="C7" s="205" t="s">
        <v>553</v>
      </c>
      <c r="D7" s="205" t="s">
        <v>554</v>
      </c>
      <c r="E7" s="205" t="s">
        <v>555</v>
      </c>
      <c r="F7" s="205" t="s">
        <v>556</v>
      </c>
    </row>
    <row r="8" spans="1:6" s="183" customFormat="1" ht="15.75">
      <c r="A8" s="206">
        <v>3767</v>
      </c>
      <c r="B8" s="207" t="s">
        <v>557</v>
      </c>
      <c r="C8" s="208" t="s">
        <v>109</v>
      </c>
      <c r="D8" s="209">
        <v>0.3</v>
      </c>
      <c r="E8" s="210">
        <v>0.45</v>
      </c>
      <c r="F8" s="211">
        <f>ROUND(E8*D8,2)</f>
        <v>0.14</v>
      </c>
    </row>
    <row r="9" spans="1:6" s="183" customFormat="1" ht="15.75">
      <c r="A9" s="206">
        <v>88316</v>
      </c>
      <c r="B9" s="207" t="s">
        <v>558</v>
      </c>
      <c r="C9" s="208" t="s">
        <v>559</v>
      </c>
      <c r="D9" s="209">
        <v>0.1</v>
      </c>
      <c r="E9" s="210">
        <v>14.11</v>
      </c>
      <c r="F9" s="211">
        <f>ROUND(E9*D9,2)</f>
        <v>1.41</v>
      </c>
    </row>
    <row r="10" spans="1:6" s="182" customFormat="1" ht="15.75">
      <c r="A10" s="212"/>
      <c r="B10" s="213"/>
      <c r="C10" s="177"/>
      <c r="D10" s="214"/>
      <c r="E10" s="210"/>
      <c r="F10" s="211"/>
    </row>
    <row r="11" spans="1:6" s="183" customFormat="1" ht="15.75">
      <c r="A11" s="202" t="s">
        <v>560</v>
      </c>
      <c r="B11" s="203" t="s">
        <v>48</v>
      </c>
      <c r="C11" s="190" t="s">
        <v>550</v>
      </c>
      <c r="D11" s="204" t="s">
        <v>24</v>
      </c>
      <c r="E11" s="205" t="s">
        <v>6</v>
      </c>
      <c r="F11" s="205">
        <f>SUM(F13:F14)</f>
        <v>4.37</v>
      </c>
    </row>
    <row r="12" spans="1:6" s="183" customFormat="1" ht="15.75">
      <c r="A12" s="189" t="s">
        <v>551</v>
      </c>
      <c r="B12" s="205" t="s">
        <v>552</v>
      </c>
      <c r="C12" s="205" t="s">
        <v>553</v>
      </c>
      <c r="D12" s="205" t="s">
        <v>554</v>
      </c>
      <c r="E12" s="205" t="s">
        <v>555</v>
      </c>
      <c r="F12" s="205" t="s">
        <v>556</v>
      </c>
    </row>
    <row r="13" spans="1:6" s="183" customFormat="1" ht="15.75">
      <c r="A13" s="206">
        <v>3767</v>
      </c>
      <c r="B13" s="207" t="s">
        <v>557</v>
      </c>
      <c r="C13" s="208" t="s">
        <v>109</v>
      </c>
      <c r="D13" s="215">
        <v>0.3</v>
      </c>
      <c r="E13" s="210">
        <v>0.45</v>
      </c>
      <c r="F13" s="211">
        <f>ROUND(E13*D13,2)</f>
        <v>0.14</v>
      </c>
    </row>
    <row r="14" spans="1:6" s="183" customFormat="1" ht="15.75">
      <c r="A14" s="206">
        <v>88316</v>
      </c>
      <c r="B14" s="207" t="s">
        <v>558</v>
      </c>
      <c r="C14" s="208" t="s">
        <v>559</v>
      </c>
      <c r="D14" s="209">
        <v>0.3</v>
      </c>
      <c r="E14" s="210">
        <v>14.11</v>
      </c>
      <c r="F14" s="211">
        <f>ROUND(E14*D14,2)</f>
        <v>4.23</v>
      </c>
    </row>
    <row r="16" spans="1:6" ht="15.75">
      <c r="A16" s="202" t="s">
        <v>561</v>
      </c>
      <c r="B16" s="203" t="s">
        <v>562</v>
      </c>
      <c r="C16" s="190" t="s">
        <v>550</v>
      </c>
      <c r="D16" s="204" t="s">
        <v>24</v>
      </c>
      <c r="E16" s="205" t="s">
        <v>6</v>
      </c>
      <c r="F16" s="205">
        <f>SUM(F18:F19)</f>
        <v>7.199999999999999</v>
      </c>
    </row>
    <row r="17" spans="1:6" ht="15.75">
      <c r="A17" s="189" t="s">
        <v>551</v>
      </c>
      <c r="B17" s="205" t="s">
        <v>552</v>
      </c>
      <c r="C17" s="205" t="s">
        <v>553</v>
      </c>
      <c r="D17" s="205" t="s">
        <v>554</v>
      </c>
      <c r="E17" s="205" t="s">
        <v>555</v>
      </c>
      <c r="F17" s="205" t="s">
        <v>556</v>
      </c>
    </row>
    <row r="18" spans="1:6" ht="15.75">
      <c r="A18" s="206">
        <v>3767</v>
      </c>
      <c r="B18" s="207" t="s">
        <v>557</v>
      </c>
      <c r="C18" s="208" t="s">
        <v>109</v>
      </c>
      <c r="D18" s="215">
        <v>0.3</v>
      </c>
      <c r="E18" s="210">
        <v>0.45</v>
      </c>
      <c r="F18" s="211">
        <f aca="true" t="shared" si="0" ref="F18:F25">ROUND(E18*D18,2)</f>
        <v>0.14</v>
      </c>
    </row>
    <row r="19" spans="1:6" s="183" customFormat="1" ht="15.75">
      <c r="A19" s="206">
        <v>88316</v>
      </c>
      <c r="B19" s="207" t="s">
        <v>558</v>
      </c>
      <c r="C19" s="208" t="s">
        <v>559</v>
      </c>
      <c r="D19" s="209">
        <v>0.5</v>
      </c>
      <c r="E19" s="210">
        <v>14.11</v>
      </c>
      <c r="F19" s="211">
        <f t="shared" si="0"/>
        <v>7.06</v>
      </c>
    </row>
    <row r="21" spans="1:6" ht="15.75">
      <c r="A21" s="202" t="s">
        <v>563</v>
      </c>
      <c r="B21" s="203" t="s">
        <v>56</v>
      </c>
      <c r="C21" s="190" t="s">
        <v>550</v>
      </c>
      <c r="D21" s="204" t="s">
        <v>24</v>
      </c>
      <c r="E21" s="205" t="s">
        <v>6</v>
      </c>
      <c r="F21" s="205">
        <f>SUM(F23:F25)</f>
        <v>12.85</v>
      </c>
    </row>
    <row r="22" spans="1:6" ht="15.75">
      <c r="A22" s="189" t="s">
        <v>551</v>
      </c>
      <c r="B22" s="205" t="s">
        <v>552</v>
      </c>
      <c r="C22" s="205" t="s">
        <v>553</v>
      </c>
      <c r="D22" s="205" t="s">
        <v>554</v>
      </c>
      <c r="E22" s="205" t="s">
        <v>555</v>
      </c>
      <c r="F22" s="205" t="s">
        <v>556</v>
      </c>
    </row>
    <row r="23" spans="1:6" s="183" customFormat="1" ht="15.75">
      <c r="A23" s="206" t="s">
        <v>564</v>
      </c>
      <c r="B23" s="207" t="s">
        <v>565</v>
      </c>
      <c r="C23" s="208" t="s">
        <v>183</v>
      </c>
      <c r="D23" s="209">
        <v>0.33</v>
      </c>
      <c r="E23" s="210">
        <v>15.68</v>
      </c>
      <c r="F23" s="211">
        <f t="shared" si="0"/>
        <v>5.17</v>
      </c>
    </row>
    <row r="24" spans="1:6" s="183" customFormat="1" ht="15.75">
      <c r="A24" s="206" t="s">
        <v>566</v>
      </c>
      <c r="B24" s="207" t="s">
        <v>567</v>
      </c>
      <c r="C24" s="208" t="s">
        <v>559</v>
      </c>
      <c r="D24" s="209">
        <v>0.3</v>
      </c>
      <c r="E24" s="210">
        <v>21.4</v>
      </c>
      <c r="F24" s="211">
        <f t="shared" si="0"/>
        <v>6.42</v>
      </c>
    </row>
    <row r="25" spans="1:6" s="183" customFormat="1" ht="15.75">
      <c r="A25" s="206">
        <v>88316</v>
      </c>
      <c r="B25" s="207" t="s">
        <v>558</v>
      </c>
      <c r="C25" s="208" t="s">
        <v>559</v>
      </c>
      <c r="D25" s="209">
        <v>0.089</v>
      </c>
      <c r="E25" s="210">
        <v>14.11</v>
      </c>
      <c r="F25" s="211">
        <f t="shared" si="0"/>
        <v>1.26</v>
      </c>
    </row>
    <row r="26" ht="15.75">
      <c r="A26" s="665" t="s">
        <v>568</v>
      </c>
    </row>
    <row r="27" spans="1:6" ht="15.75">
      <c r="A27" s="202" t="s">
        <v>569</v>
      </c>
      <c r="B27" s="203" t="s">
        <v>101</v>
      </c>
      <c r="C27" s="190" t="s">
        <v>550</v>
      </c>
      <c r="D27" s="204" t="s">
        <v>24</v>
      </c>
      <c r="E27" s="205" t="s">
        <v>6</v>
      </c>
      <c r="F27" s="205">
        <f>SUM(F29:F32)</f>
        <v>7.549999999999999</v>
      </c>
    </row>
    <row r="28" spans="1:6" ht="15.75">
      <c r="A28" s="189" t="s">
        <v>551</v>
      </c>
      <c r="B28" s="205" t="s">
        <v>552</v>
      </c>
      <c r="C28" s="205" t="s">
        <v>553</v>
      </c>
      <c r="D28" s="205" t="s">
        <v>554</v>
      </c>
      <c r="E28" s="205" t="s">
        <v>555</v>
      </c>
      <c r="F28" s="205" t="s">
        <v>556</v>
      </c>
    </row>
    <row r="29" spans="1:6" s="183" customFormat="1" ht="15.75">
      <c r="A29" s="216">
        <v>88316</v>
      </c>
      <c r="B29" s="217" t="s">
        <v>558</v>
      </c>
      <c r="C29" s="218" t="s">
        <v>559</v>
      </c>
      <c r="D29" s="219">
        <v>0.5</v>
      </c>
      <c r="E29" s="210">
        <v>14.11</v>
      </c>
      <c r="F29" s="211">
        <f>ROUND(E29*D29,2)</f>
        <v>7.06</v>
      </c>
    </row>
    <row r="30" spans="1:6" s="183" customFormat="1" ht="15.75">
      <c r="A30" s="216" t="s">
        <v>570</v>
      </c>
      <c r="B30" s="217" t="s">
        <v>571</v>
      </c>
      <c r="C30" s="218" t="s">
        <v>183</v>
      </c>
      <c r="D30" s="219">
        <v>0.023</v>
      </c>
      <c r="E30" s="210">
        <v>12.6</v>
      </c>
      <c r="F30" s="211">
        <f>ROUND(D30*E30,2)</f>
        <v>0.29</v>
      </c>
    </row>
    <row r="31" spans="1:6" s="184" customFormat="1" ht="15.75">
      <c r="A31" s="216" t="s">
        <v>572</v>
      </c>
      <c r="B31" s="220" t="s">
        <v>573</v>
      </c>
      <c r="C31" s="221" t="s">
        <v>183</v>
      </c>
      <c r="D31" s="222">
        <v>0.06</v>
      </c>
      <c r="E31" s="210">
        <f>'ANEXO PB  V Cotações'!E46</f>
        <v>2.29</v>
      </c>
      <c r="F31" s="211">
        <f>ROUND(D31*E31,2)</f>
        <v>0.14</v>
      </c>
    </row>
    <row r="32" spans="1:6" s="183" customFormat="1" ht="27" customHeight="1">
      <c r="A32" s="216" t="s">
        <v>574</v>
      </c>
      <c r="B32" s="217" t="s">
        <v>575</v>
      </c>
      <c r="C32" s="218" t="s">
        <v>183</v>
      </c>
      <c r="D32" s="219">
        <v>0.011</v>
      </c>
      <c r="E32" s="210">
        <f>'ANEXO PB  V Cotações'!E50</f>
        <v>5</v>
      </c>
      <c r="F32" s="211">
        <f>ROUND(D32*E32,2)</f>
        <v>0.06</v>
      </c>
    </row>
    <row r="34" spans="1:6" ht="15.75">
      <c r="A34" s="202" t="s">
        <v>576</v>
      </c>
      <c r="B34" s="203" t="s">
        <v>26</v>
      </c>
      <c r="C34" s="190" t="s">
        <v>550</v>
      </c>
      <c r="D34" s="204" t="s">
        <v>24</v>
      </c>
      <c r="E34" s="205" t="s">
        <v>6</v>
      </c>
      <c r="F34" s="205">
        <f>SUM(F36:F39)</f>
        <v>27.75</v>
      </c>
    </row>
    <row r="35" spans="1:6" ht="15.75">
      <c r="A35" s="189" t="s">
        <v>551</v>
      </c>
      <c r="B35" s="205" t="s">
        <v>552</v>
      </c>
      <c r="C35" s="205" t="s">
        <v>553</v>
      </c>
      <c r="D35" s="205" t="s">
        <v>554</v>
      </c>
      <c r="E35" s="205" t="s">
        <v>555</v>
      </c>
      <c r="F35" s="205" t="s">
        <v>556</v>
      </c>
    </row>
    <row r="36" spans="1:6" s="183" customFormat="1" ht="15.75">
      <c r="A36" s="206" t="s">
        <v>577</v>
      </c>
      <c r="B36" s="207" t="s">
        <v>578</v>
      </c>
      <c r="C36" s="208" t="s">
        <v>579</v>
      </c>
      <c r="D36" s="209">
        <v>6.14</v>
      </c>
      <c r="E36" s="210">
        <v>1.07</v>
      </c>
      <c r="F36" s="211">
        <f>ROUND(D36*E36,2)</f>
        <v>6.57</v>
      </c>
    </row>
    <row r="37" spans="1:6" s="183" customFormat="1" ht="15.75">
      <c r="A37" s="206">
        <v>34357</v>
      </c>
      <c r="B37" s="207" t="s">
        <v>580</v>
      </c>
      <c r="C37" s="208" t="s">
        <v>579</v>
      </c>
      <c r="D37" s="209">
        <v>0.19</v>
      </c>
      <c r="E37" s="210">
        <v>6.28</v>
      </c>
      <c r="F37" s="211">
        <f>ROUND(D37*E37,2)</f>
        <v>1.19</v>
      </c>
    </row>
    <row r="38" spans="1:6" s="183" customFormat="1" ht="15.75">
      <c r="A38" s="206">
        <v>88256</v>
      </c>
      <c r="B38" s="207" t="s">
        <v>581</v>
      </c>
      <c r="C38" s="208" t="s">
        <v>559</v>
      </c>
      <c r="D38" s="209">
        <v>0.82</v>
      </c>
      <c r="E38" s="210">
        <v>19.05</v>
      </c>
      <c r="F38" s="211">
        <f>ROUND(D38*E38,2)</f>
        <v>15.62</v>
      </c>
    </row>
    <row r="39" spans="1:6" s="183" customFormat="1" ht="15.75">
      <c r="A39" s="206">
        <v>88316</v>
      </c>
      <c r="B39" s="207" t="s">
        <v>558</v>
      </c>
      <c r="C39" s="208" t="s">
        <v>559</v>
      </c>
      <c r="D39" s="209">
        <v>0.31</v>
      </c>
      <c r="E39" s="210">
        <v>14.11</v>
      </c>
      <c r="F39" s="211">
        <f>ROUND(D39*E39,2)</f>
        <v>4.37</v>
      </c>
    </row>
    <row r="41" spans="1:6" ht="15.75">
      <c r="A41" s="202" t="s">
        <v>582</v>
      </c>
      <c r="B41" s="203" t="s">
        <v>131</v>
      </c>
      <c r="C41" s="190" t="s">
        <v>550</v>
      </c>
      <c r="D41" s="204" t="s">
        <v>24</v>
      </c>
      <c r="E41" s="205" t="s">
        <v>6</v>
      </c>
      <c r="F41" s="205">
        <f>SUM(F43:F46)</f>
        <v>180.3317</v>
      </c>
    </row>
    <row r="42" spans="1:6" ht="15.75">
      <c r="A42" s="189" t="s">
        <v>551</v>
      </c>
      <c r="B42" s="205" t="s">
        <v>552</v>
      </c>
      <c r="C42" s="205" t="s">
        <v>553</v>
      </c>
      <c r="D42" s="205" t="s">
        <v>554</v>
      </c>
      <c r="E42" s="205" t="s">
        <v>555</v>
      </c>
      <c r="F42" s="205" t="s">
        <v>556</v>
      </c>
    </row>
    <row r="43" spans="1:6" s="183" customFormat="1" ht="15.75">
      <c r="A43" s="206" t="s">
        <v>583</v>
      </c>
      <c r="B43" s="207" t="s">
        <v>584</v>
      </c>
      <c r="C43" s="208" t="s">
        <v>24</v>
      </c>
      <c r="D43" s="209">
        <v>1</v>
      </c>
      <c r="E43" s="210">
        <v>159.6</v>
      </c>
      <c r="F43" s="211">
        <f>ROUND(D43*E43,2)</f>
        <v>159.6</v>
      </c>
    </row>
    <row r="44" spans="1:6" s="183" customFormat="1" ht="15.75">
      <c r="A44" s="206" t="s">
        <v>585</v>
      </c>
      <c r="B44" s="207" t="s">
        <v>586</v>
      </c>
      <c r="C44" s="208" t="s">
        <v>579</v>
      </c>
      <c r="D44" s="209">
        <v>0.5</v>
      </c>
      <c r="E44" s="210">
        <v>8.69</v>
      </c>
      <c r="F44" s="211">
        <f>D44*E44</f>
        <v>4.345</v>
      </c>
    </row>
    <row r="45" spans="1:6" s="183" customFormat="1" ht="15.75">
      <c r="A45" s="206">
        <v>88316</v>
      </c>
      <c r="B45" s="207" t="s">
        <v>558</v>
      </c>
      <c r="C45" s="208" t="s">
        <v>559</v>
      </c>
      <c r="D45" s="209">
        <v>0.502</v>
      </c>
      <c r="E45" s="210">
        <v>14.11</v>
      </c>
      <c r="F45" s="211">
        <f>D45*E45</f>
        <v>7.08322</v>
      </c>
    </row>
    <row r="46" spans="1:6" s="183" customFormat="1" ht="15.75">
      <c r="A46" s="206">
        <v>88325</v>
      </c>
      <c r="B46" s="207" t="s">
        <v>587</v>
      </c>
      <c r="C46" s="208" t="s">
        <v>559</v>
      </c>
      <c r="D46" s="209">
        <v>0.516</v>
      </c>
      <c r="E46" s="210">
        <v>18.03</v>
      </c>
      <c r="F46" s="211">
        <f>D46*E46</f>
        <v>9.30348</v>
      </c>
    </row>
    <row r="48" spans="1:6" ht="31.5">
      <c r="A48" s="202" t="s">
        <v>588</v>
      </c>
      <c r="B48" s="203" t="s">
        <v>135</v>
      </c>
      <c r="C48" s="190" t="s">
        <v>550</v>
      </c>
      <c r="D48" s="204" t="s">
        <v>24</v>
      </c>
      <c r="E48" s="205" t="s">
        <v>6</v>
      </c>
      <c r="F48" s="205">
        <f>SUM(F50:F53)</f>
        <v>265.49742</v>
      </c>
    </row>
    <row r="49" spans="1:6" ht="15.75">
      <c r="A49" s="189" t="s">
        <v>551</v>
      </c>
      <c r="B49" s="205" t="s">
        <v>552</v>
      </c>
      <c r="C49" s="205" t="s">
        <v>553</v>
      </c>
      <c r="D49" s="205" t="s">
        <v>554</v>
      </c>
      <c r="E49" s="205" t="s">
        <v>555</v>
      </c>
      <c r="F49" s="205" t="s">
        <v>556</v>
      </c>
    </row>
    <row r="50" spans="1:6" s="183" customFormat="1" ht="15.75">
      <c r="A50" s="206" t="s">
        <v>589</v>
      </c>
      <c r="B50" s="207" t="s">
        <v>590</v>
      </c>
      <c r="C50" s="208" t="s">
        <v>24</v>
      </c>
      <c r="D50" s="209">
        <v>1</v>
      </c>
      <c r="E50" s="210">
        <v>205.91</v>
      </c>
      <c r="F50" s="211">
        <f>D50*E50</f>
        <v>205.91</v>
      </c>
    </row>
    <row r="51" spans="1:6" s="183" customFormat="1" ht="15.75">
      <c r="A51" s="206" t="s">
        <v>591</v>
      </c>
      <c r="B51" s="207" t="s">
        <v>592</v>
      </c>
      <c r="C51" s="208" t="s">
        <v>553</v>
      </c>
      <c r="D51" s="209">
        <v>0.397</v>
      </c>
      <c r="E51" s="210">
        <v>23.26</v>
      </c>
      <c r="F51" s="211">
        <f>D51*E51</f>
        <v>9.23422</v>
      </c>
    </row>
    <row r="52" spans="1:6" s="183" customFormat="1" ht="15.75">
      <c r="A52" s="206">
        <v>88316</v>
      </c>
      <c r="B52" s="207" t="s">
        <v>558</v>
      </c>
      <c r="C52" s="208" t="s">
        <v>559</v>
      </c>
      <c r="D52" s="209">
        <v>1.542</v>
      </c>
      <c r="E52" s="210">
        <v>14.11</v>
      </c>
      <c r="F52" s="211">
        <f>D52*E52</f>
        <v>21.75762</v>
      </c>
    </row>
    <row r="53" spans="1:6" s="183" customFormat="1" ht="15.75">
      <c r="A53" s="206">
        <v>88325</v>
      </c>
      <c r="B53" s="207" t="s">
        <v>593</v>
      </c>
      <c r="C53" s="208" t="s">
        <v>559</v>
      </c>
      <c r="D53" s="209">
        <v>1.586</v>
      </c>
      <c r="E53" s="210">
        <v>18.03</v>
      </c>
      <c r="F53" s="211">
        <f>D53*E53</f>
        <v>28.59558</v>
      </c>
    </row>
    <row r="55" spans="1:6" ht="31.5">
      <c r="A55" s="202" t="s">
        <v>594</v>
      </c>
      <c r="B55" s="203" t="s">
        <v>124</v>
      </c>
      <c r="C55" s="190" t="s">
        <v>550</v>
      </c>
      <c r="D55" s="204" t="s">
        <v>109</v>
      </c>
      <c r="E55" s="205" t="s">
        <v>6</v>
      </c>
      <c r="F55" s="205">
        <f>SUM(F57:F59)</f>
        <v>164.55</v>
      </c>
    </row>
    <row r="56" spans="1:6" ht="15.75">
      <c r="A56" s="189" t="s">
        <v>551</v>
      </c>
      <c r="B56" s="205" t="s">
        <v>552</v>
      </c>
      <c r="C56" s="205" t="s">
        <v>553</v>
      </c>
      <c r="D56" s="205" t="s">
        <v>554</v>
      </c>
      <c r="E56" s="205" t="s">
        <v>555</v>
      </c>
      <c r="F56" s="205" t="s">
        <v>556</v>
      </c>
    </row>
    <row r="57" spans="1:6" s="1" customFormat="1" ht="25.5" customHeight="1">
      <c r="A57" s="177" t="s">
        <v>595</v>
      </c>
      <c r="B57" s="223" t="s">
        <v>596</v>
      </c>
      <c r="C57" s="177" t="s">
        <v>109</v>
      </c>
      <c r="D57" s="224">
        <v>1</v>
      </c>
      <c r="E57" s="169">
        <v>139.9</v>
      </c>
      <c r="F57" s="211">
        <f>ROUND(D57*E57,2)</f>
        <v>139.9</v>
      </c>
    </row>
    <row r="58" spans="1:6" s="1" customFormat="1" ht="15.75">
      <c r="A58" s="177">
        <v>88264</v>
      </c>
      <c r="B58" s="223" t="s">
        <v>597</v>
      </c>
      <c r="C58" s="177" t="s">
        <v>559</v>
      </c>
      <c r="D58" s="224">
        <v>0.5</v>
      </c>
      <c r="E58" s="169">
        <v>21.08</v>
      </c>
      <c r="F58" s="211">
        <f>ROUND(D58*E58,2)</f>
        <v>10.54</v>
      </c>
    </row>
    <row r="59" spans="1:6" s="1" customFormat="1" ht="15.75">
      <c r="A59" s="177">
        <v>88316</v>
      </c>
      <c r="B59" s="223" t="s">
        <v>558</v>
      </c>
      <c r="C59" s="177" t="s">
        <v>559</v>
      </c>
      <c r="D59" s="224">
        <v>1</v>
      </c>
      <c r="E59" s="177">
        <v>14.11</v>
      </c>
      <c r="F59" s="211">
        <f>ROUND(D59*E59,2)</f>
        <v>14.11</v>
      </c>
    </row>
    <row r="61" spans="1:6" ht="31.5">
      <c r="A61" s="202" t="s">
        <v>598</v>
      </c>
      <c r="B61" s="203" t="s">
        <v>126</v>
      </c>
      <c r="C61" s="190" t="s">
        <v>550</v>
      </c>
      <c r="D61" s="204" t="s">
        <v>109</v>
      </c>
      <c r="E61" s="205" t="s">
        <v>6</v>
      </c>
      <c r="F61" s="205">
        <f>SUM(F63:F65)</f>
        <v>148.25</v>
      </c>
    </row>
    <row r="62" spans="1:6" ht="15.75">
      <c r="A62" s="189" t="s">
        <v>551</v>
      </c>
      <c r="B62" s="205" t="s">
        <v>552</v>
      </c>
      <c r="C62" s="205" t="s">
        <v>553</v>
      </c>
      <c r="D62" s="205" t="s">
        <v>554</v>
      </c>
      <c r="E62" s="205" t="s">
        <v>555</v>
      </c>
      <c r="F62" s="205" t="s">
        <v>556</v>
      </c>
    </row>
    <row r="63" spans="1:6" ht="15.75">
      <c r="A63" s="177" t="s">
        <v>595</v>
      </c>
      <c r="B63" s="223" t="s">
        <v>599</v>
      </c>
      <c r="C63" s="177" t="s">
        <v>109</v>
      </c>
      <c r="D63" s="224">
        <v>1</v>
      </c>
      <c r="E63" s="169">
        <v>112.79</v>
      </c>
      <c r="F63" s="211">
        <f>ROUND(D63*E63,2)</f>
        <v>112.79</v>
      </c>
    </row>
    <row r="64" spans="1:6" ht="15.75">
      <c r="A64" s="177">
        <v>88264</v>
      </c>
      <c r="B64" s="223" t="s">
        <v>597</v>
      </c>
      <c r="C64" s="177" t="s">
        <v>559</v>
      </c>
      <c r="D64" s="224">
        <v>1</v>
      </c>
      <c r="E64" s="169">
        <v>21.08</v>
      </c>
      <c r="F64" s="211">
        <f>ROUND(D64*E64,2)</f>
        <v>21.08</v>
      </c>
    </row>
    <row r="65" spans="1:6" ht="15.75">
      <c r="A65" s="177">
        <v>88316</v>
      </c>
      <c r="B65" s="223" t="s">
        <v>558</v>
      </c>
      <c r="C65" s="177" t="s">
        <v>559</v>
      </c>
      <c r="D65" s="224">
        <v>1</v>
      </c>
      <c r="E65" s="177">
        <v>14.38</v>
      </c>
      <c r="F65" s="211">
        <f>ROUND(D65*E65,2)</f>
        <v>14.38</v>
      </c>
    </row>
    <row r="67" spans="1:6" ht="15.75">
      <c r="A67" s="202" t="s">
        <v>600</v>
      </c>
      <c r="B67" s="203" t="s">
        <v>138</v>
      </c>
      <c r="C67" s="190" t="s">
        <v>550</v>
      </c>
      <c r="D67" s="204" t="s">
        <v>109</v>
      </c>
      <c r="E67" s="205" t="s">
        <v>6</v>
      </c>
      <c r="F67" s="205">
        <f>SUM(F69:F71)</f>
        <v>6246.75</v>
      </c>
    </row>
    <row r="68" spans="1:6" ht="15.75">
      <c r="A68" s="189" t="s">
        <v>551</v>
      </c>
      <c r="B68" s="205" t="s">
        <v>552</v>
      </c>
      <c r="C68" s="205" t="s">
        <v>553</v>
      </c>
      <c r="D68" s="205" t="s">
        <v>554</v>
      </c>
      <c r="E68" s="205" t="s">
        <v>555</v>
      </c>
      <c r="F68" s="205" t="s">
        <v>556</v>
      </c>
    </row>
    <row r="69" spans="1:6" ht="31.5">
      <c r="A69" s="225">
        <v>90777</v>
      </c>
      <c r="B69" s="223" t="s">
        <v>601</v>
      </c>
      <c r="C69" s="177" t="s">
        <v>559</v>
      </c>
      <c r="D69" s="226">
        <f>'ANEXO PB III Mem. de cálculo'!H251</f>
        <v>12</v>
      </c>
      <c r="E69" s="227">
        <v>81.19</v>
      </c>
      <c r="F69" s="211">
        <f>ROUND(D69*E69,2)</f>
        <v>974.28</v>
      </c>
    </row>
    <row r="70" spans="1:6" ht="15.75">
      <c r="A70" s="225">
        <v>90780</v>
      </c>
      <c r="B70" s="223" t="s">
        <v>602</v>
      </c>
      <c r="C70" s="177" t="s">
        <v>559</v>
      </c>
      <c r="D70" s="226">
        <f>'ANEXO PB III Mem. de cálculo'!H252</f>
        <v>63</v>
      </c>
      <c r="E70" s="227">
        <v>35.69</v>
      </c>
      <c r="F70" s="211">
        <f>ROUND(D70*E70,2)</f>
        <v>2248.47</v>
      </c>
    </row>
    <row r="71" spans="1:6" ht="15.75">
      <c r="A71" s="228">
        <v>88326</v>
      </c>
      <c r="B71" s="223" t="s">
        <v>603</v>
      </c>
      <c r="C71" s="177" t="s">
        <v>559</v>
      </c>
      <c r="D71" s="226">
        <f>'ANEXO PB III Mem. de cálculo'!H253</f>
        <v>168</v>
      </c>
      <c r="E71" s="227">
        <v>18</v>
      </c>
      <c r="F71" s="211">
        <f>ROUND(D71*E71,2)</f>
        <v>3024</v>
      </c>
    </row>
    <row r="73" spans="1:6" ht="15.75">
      <c r="A73" s="202" t="s">
        <v>604</v>
      </c>
      <c r="B73" s="203" t="s">
        <v>175</v>
      </c>
      <c r="C73" s="190" t="s">
        <v>550</v>
      </c>
      <c r="D73" s="204" t="s">
        <v>176</v>
      </c>
      <c r="E73" s="205" t="s">
        <v>6</v>
      </c>
      <c r="F73" s="205">
        <f>SUM(F75:F76)</f>
        <v>9.629999999999999</v>
      </c>
    </row>
    <row r="74" spans="1:6" ht="15.75">
      <c r="A74" s="189" t="s">
        <v>551</v>
      </c>
      <c r="B74" s="205" t="s">
        <v>552</v>
      </c>
      <c r="C74" s="205" t="s">
        <v>553</v>
      </c>
      <c r="D74" s="205" t="s">
        <v>554</v>
      </c>
      <c r="E74" s="205" t="s">
        <v>555</v>
      </c>
      <c r="F74" s="205" t="s">
        <v>556</v>
      </c>
    </row>
    <row r="75" spans="1:6" ht="15.75">
      <c r="A75" s="225" t="s">
        <v>605</v>
      </c>
      <c r="B75" s="223" t="s">
        <v>606</v>
      </c>
      <c r="C75" s="177" t="s">
        <v>176</v>
      </c>
      <c r="D75" s="226">
        <v>1</v>
      </c>
      <c r="E75" s="227">
        <f>'ANEXO PB  V Cotações'!E54</f>
        <v>8.5</v>
      </c>
      <c r="F75" s="211">
        <f>ROUND(D75*E75,2)</f>
        <v>8.5</v>
      </c>
    </row>
    <row r="76" spans="1:6" s="183" customFormat="1" ht="15.75">
      <c r="A76" s="206">
        <v>88316</v>
      </c>
      <c r="B76" s="207" t="s">
        <v>558</v>
      </c>
      <c r="C76" s="208" t="s">
        <v>559</v>
      </c>
      <c r="D76" s="209">
        <v>0.08</v>
      </c>
      <c r="E76" s="210">
        <v>14.11</v>
      </c>
      <c r="F76" s="211">
        <f>ROUND(D76*E76,2)</f>
        <v>1.13</v>
      </c>
    </row>
    <row r="78" spans="1:6" ht="15.75">
      <c r="A78" s="202" t="s">
        <v>607</v>
      </c>
      <c r="B78" s="203" t="s">
        <v>172</v>
      </c>
      <c r="C78" s="190" t="s">
        <v>550</v>
      </c>
      <c r="D78" s="204" t="s">
        <v>109</v>
      </c>
      <c r="E78" s="205" t="s">
        <v>6</v>
      </c>
      <c r="F78" s="205">
        <f>SUM(F80:F81)</f>
        <v>575.9</v>
      </c>
    </row>
    <row r="79" spans="1:6" ht="15.75">
      <c r="A79" s="189" t="s">
        <v>551</v>
      </c>
      <c r="B79" s="205" t="s">
        <v>552</v>
      </c>
      <c r="C79" s="205" t="s">
        <v>553</v>
      </c>
      <c r="D79" s="205" t="s">
        <v>554</v>
      </c>
      <c r="E79" s="205" t="s">
        <v>555</v>
      </c>
      <c r="F79" s="205" t="s">
        <v>556</v>
      </c>
    </row>
    <row r="80" spans="1:6" s="185" customFormat="1" ht="15.75">
      <c r="A80" s="225">
        <v>21014</v>
      </c>
      <c r="B80" s="223" t="s">
        <v>608</v>
      </c>
      <c r="C80" s="177" t="s">
        <v>176</v>
      </c>
      <c r="D80" s="224">
        <v>4</v>
      </c>
      <c r="E80" s="210">
        <v>137.18</v>
      </c>
      <c r="F80" s="211">
        <f>ROUND(D80*E80,2)</f>
        <v>548.72</v>
      </c>
    </row>
    <row r="81" spans="1:6" s="185" customFormat="1" ht="15.75">
      <c r="A81" s="225">
        <v>94964</v>
      </c>
      <c r="B81" s="223" t="s">
        <v>609</v>
      </c>
      <c r="C81" s="177" t="s">
        <v>610</v>
      </c>
      <c r="D81" s="224">
        <v>0.05</v>
      </c>
      <c r="E81" s="210">
        <v>543.69</v>
      </c>
      <c r="F81" s="211">
        <f>ROUND(D81*E81,2)</f>
        <v>27.18</v>
      </c>
    </row>
    <row r="82" spans="1:6" s="185" customFormat="1" ht="15.75">
      <c r="A82" s="225">
        <v>92873</v>
      </c>
      <c r="B82" s="223" t="s">
        <v>611</v>
      </c>
      <c r="C82" s="177" t="s">
        <v>610</v>
      </c>
      <c r="D82" s="224">
        <v>0.05</v>
      </c>
      <c r="E82" s="210">
        <v>155.5</v>
      </c>
      <c r="F82" s="211">
        <f>ROUND(D82*E82,2)</f>
        <v>7.78</v>
      </c>
    </row>
    <row r="83" spans="1:6" s="185" customFormat="1" ht="15.75">
      <c r="A83" s="225">
        <v>88309</v>
      </c>
      <c r="B83" s="223" t="s">
        <v>612</v>
      </c>
      <c r="C83" s="177" t="s">
        <v>559</v>
      </c>
      <c r="D83" s="224">
        <v>1</v>
      </c>
      <c r="E83" s="210">
        <v>20.57</v>
      </c>
      <c r="F83" s="211">
        <f>ROUND(D83*E83,2)</f>
        <v>20.57</v>
      </c>
    </row>
    <row r="85" spans="1:6" ht="15.75">
      <c r="A85" s="202" t="s">
        <v>613</v>
      </c>
      <c r="B85" s="203" t="s">
        <v>179</v>
      </c>
      <c r="C85" s="190" t="s">
        <v>550</v>
      </c>
      <c r="D85" s="204" t="s">
        <v>109</v>
      </c>
      <c r="E85" s="205" t="s">
        <v>6</v>
      </c>
      <c r="F85" s="205">
        <f>SUM(F87:F88)</f>
        <v>64.42</v>
      </c>
    </row>
    <row r="86" spans="1:6" ht="15.75">
      <c r="A86" s="189" t="s">
        <v>551</v>
      </c>
      <c r="B86" s="205" t="s">
        <v>552</v>
      </c>
      <c r="C86" s="205" t="s">
        <v>553</v>
      </c>
      <c r="D86" s="205" t="s">
        <v>554</v>
      </c>
      <c r="E86" s="205" t="s">
        <v>555</v>
      </c>
      <c r="F86" s="205" t="s">
        <v>556</v>
      </c>
    </row>
    <row r="87" spans="1:6" s="183" customFormat="1" ht="15.75">
      <c r="A87" s="206">
        <v>88316</v>
      </c>
      <c r="B87" s="207" t="s">
        <v>558</v>
      </c>
      <c r="C87" s="208" t="s">
        <v>559</v>
      </c>
      <c r="D87" s="209">
        <v>4</v>
      </c>
      <c r="E87" s="210">
        <v>14.11</v>
      </c>
      <c r="F87" s="211">
        <f>D87*E87</f>
        <v>56.44</v>
      </c>
    </row>
    <row r="88" spans="1:6" s="183" customFormat="1" ht="15.75">
      <c r="A88" s="206" t="s">
        <v>614</v>
      </c>
      <c r="B88" s="207" t="s">
        <v>615</v>
      </c>
      <c r="C88" s="208" t="s">
        <v>183</v>
      </c>
      <c r="D88" s="209">
        <v>2</v>
      </c>
      <c r="E88" s="210">
        <v>3.99</v>
      </c>
      <c r="F88" s="211">
        <f>D88*E88</f>
        <v>7.98</v>
      </c>
    </row>
    <row r="90" spans="1:6" ht="31.5">
      <c r="A90" s="202" t="s">
        <v>616</v>
      </c>
      <c r="B90" s="203" t="s">
        <v>181</v>
      </c>
      <c r="C90" s="190" t="s">
        <v>550</v>
      </c>
      <c r="D90" s="204" t="s">
        <v>109</v>
      </c>
      <c r="E90" s="205" t="s">
        <v>6</v>
      </c>
      <c r="F90" s="205">
        <f>SUM(F92:F95)</f>
        <v>579.6700000000001</v>
      </c>
    </row>
    <row r="91" spans="1:7" s="1" customFormat="1" ht="15.75">
      <c r="A91" s="189" t="s">
        <v>551</v>
      </c>
      <c r="B91" s="205" t="s">
        <v>552</v>
      </c>
      <c r="C91" s="205" t="s">
        <v>553</v>
      </c>
      <c r="D91" s="205" t="s">
        <v>18</v>
      </c>
      <c r="E91" s="205" t="s">
        <v>617</v>
      </c>
      <c r="F91" s="205" t="s">
        <v>556</v>
      </c>
      <c r="G91" s="229"/>
    </row>
    <row r="92" spans="1:6" s="1" customFormat="1" ht="31.5">
      <c r="A92" s="230">
        <v>97918</v>
      </c>
      <c r="B92" s="231" t="s">
        <v>618</v>
      </c>
      <c r="C92" s="166" t="s">
        <v>619</v>
      </c>
      <c r="D92" s="211">
        <f>'ANEXO PB III Mem. de cálculo'!H366</f>
        <v>168.3</v>
      </c>
      <c r="E92" s="210">
        <v>1.39</v>
      </c>
      <c r="F92" s="211">
        <f>ROUND(D92*E92,2)</f>
        <v>233.94</v>
      </c>
    </row>
    <row r="93" spans="1:6" s="1" customFormat="1" ht="31.5">
      <c r="A93" s="230">
        <v>97919</v>
      </c>
      <c r="B93" s="231" t="s">
        <v>620</v>
      </c>
      <c r="C93" s="166" t="s">
        <v>619</v>
      </c>
      <c r="D93" s="211">
        <f>'ANEXO PB III Mem. de cálculo'!H367</f>
        <v>330.99</v>
      </c>
      <c r="E93" s="210">
        <v>0.55</v>
      </c>
      <c r="F93" s="211">
        <f>ROUND(D93*E93,2)</f>
        <v>182.04</v>
      </c>
    </row>
    <row r="94" spans="1:6" s="1" customFormat="1" ht="31.5">
      <c r="A94" s="230">
        <v>100947</v>
      </c>
      <c r="B94" s="231" t="s">
        <v>621</v>
      </c>
      <c r="C94" s="166" t="s">
        <v>619</v>
      </c>
      <c r="D94" s="211">
        <f>'ANEXO PB III Mem. de cálculo'!H368</f>
        <v>62.699999999999996</v>
      </c>
      <c r="E94" s="210">
        <v>1.47</v>
      </c>
      <c r="F94" s="211">
        <f>ROUND(D94*E94,2)</f>
        <v>92.17</v>
      </c>
    </row>
    <row r="95" spans="1:6" s="1" customFormat="1" ht="31.5">
      <c r="A95" s="230">
        <v>100948</v>
      </c>
      <c r="B95" s="231" t="s">
        <v>622</v>
      </c>
      <c r="C95" s="166" t="s">
        <v>619</v>
      </c>
      <c r="D95" s="211">
        <f>'ANEXO PB III Mem. de cálculo'!H369</f>
        <v>123.30999999999999</v>
      </c>
      <c r="E95" s="210">
        <v>0.58</v>
      </c>
      <c r="F95" s="211">
        <f>ROUND(D95*E95,2)</f>
        <v>71.52</v>
      </c>
    </row>
    <row r="96" spans="1:6" s="1" customFormat="1" ht="15.75">
      <c r="A96" s="232"/>
      <c r="B96" s="172"/>
      <c r="C96" s="172"/>
      <c r="D96" s="172"/>
      <c r="E96" s="172"/>
      <c r="F96" s="172"/>
    </row>
    <row r="97" spans="1:6" s="185" customFormat="1" ht="15.75">
      <c r="A97" s="202" t="s">
        <v>623</v>
      </c>
      <c r="B97" s="203" t="s">
        <v>207</v>
      </c>
      <c r="C97" s="190" t="s">
        <v>550</v>
      </c>
      <c r="D97" s="204" t="s">
        <v>109</v>
      </c>
      <c r="E97" s="205" t="s">
        <v>6</v>
      </c>
      <c r="F97" s="205">
        <f>SUM(F99:F100)</f>
        <v>2165.9</v>
      </c>
    </row>
    <row r="98" spans="1:6" s="185" customFormat="1" ht="15.75">
      <c r="A98" s="189" t="s">
        <v>551</v>
      </c>
      <c r="B98" s="205" t="s">
        <v>552</v>
      </c>
      <c r="C98" s="205" t="s">
        <v>553</v>
      </c>
      <c r="D98" s="205" t="s">
        <v>18</v>
      </c>
      <c r="E98" s="205" t="s">
        <v>617</v>
      </c>
      <c r="F98" s="205" t="s">
        <v>556</v>
      </c>
    </row>
    <row r="99" spans="1:6" s="185" customFormat="1" ht="31.5">
      <c r="A99" s="225">
        <v>11154</v>
      </c>
      <c r="B99" s="233" t="s">
        <v>624</v>
      </c>
      <c r="C99" s="177" t="s">
        <v>553</v>
      </c>
      <c r="D99" s="224">
        <v>1.78</v>
      </c>
      <c r="E99" s="210">
        <v>787.39</v>
      </c>
      <c r="F99" s="211">
        <f>ROUND(D99*E99,2)</f>
        <v>1401.55</v>
      </c>
    </row>
    <row r="100" spans="1:6" s="185" customFormat="1" ht="15.75">
      <c r="A100" s="225">
        <v>39621</v>
      </c>
      <c r="B100" s="233" t="s">
        <v>625</v>
      </c>
      <c r="C100" s="177" t="s">
        <v>626</v>
      </c>
      <c r="D100" s="224">
        <v>1</v>
      </c>
      <c r="E100" s="210">
        <v>764.35</v>
      </c>
      <c r="F100" s="211">
        <f>ROUND(D100*E100,2)</f>
        <v>764.35</v>
      </c>
    </row>
    <row r="102" spans="1:6" s="185" customFormat="1" ht="15.75">
      <c r="A102" s="202" t="s">
        <v>627</v>
      </c>
      <c r="B102" s="203" t="s">
        <v>150</v>
      </c>
      <c r="C102" s="190" t="s">
        <v>550</v>
      </c>
      <c r="D102" s="204" t="s">
        <v>188</v>
      </c>
      <c r="E102" s="205" t="s">
        <v>6</v>
      </c>
      <c r="F102" s="205">
        <f>SUM(F104:F105)</f>
        <v>11.32</v>
      </c>
    </row>
    <row r="103" spans="1:6" s="185" customFormat="1" ht="15.75">
      <c r="A103" s="189" t="s">
        <v>551</v>
      </c>
      <c r="B103" s="205" t="s">
        <v>552</v>
      </c>
      <c r="C103" s="205" t="s">
        <v>553</v>
      </c>
      <c r="D103" s="205" t="s">
        <v>554</v>
      </c>
      <c r="E103" s="205" t="s">
        <v>555</v>
      </c>
      <c r="F103" s="205" t="s">
        <v>556</v>
      </c>
    </row>
    <row r="104" spans="1:6" s="186" customFormat="1" ht="15.75">
      <c r="A104" s="206" t="s">
        <v>628</v>
      </c>
      <c r="B104" s="234" t="s">
        <v>629</v>
      </c>
      <c r="C104" s="235" t="s">
        <v>559</v>
      </c>
      <c r="D104" s="236">
        <v>0.07</v>
      </c>
      <c r="E104" s="210">
        <v>20.57</v>
      </c>
      <c r="F104" s="211">
        <f>ROUND(E104*D104,2)</f>
        <v>1.44</v>
      </c>
    </row>
    <row r="105" spans="1:6" s="187" customFormat="1" ht="15.75">
      <c r="A105" s="225" t="s">
        <v>630</v>
      </c>
      <c r="B105" s="233" t="s">
        <v>558</v>
      </c>
      <c r="C105" s="177" t="s">
        <v>559</v>
      </c>
      <c r="D105" s="224">
        <v>0.7</v>
      </c>
      <c r="E105" s="210">
        <v>14.11</v>
      </c>
      <c r="F105" s="211">
        <f>ROUND(E105*D105,2)</f>
        <v>9.88</v>
      </c>
    </row>
    <row r="107" spans="1:6" s="185" customFormat="1" ht="31.5">
      <c r="A107" s="202" t="s">
        <v>631</v>
      </c>
      <c r="B107" s="203" t="s">
        <v>226</v>
      </c>
      <c r="C107" s="190" t="s">
        <v>550</v>
      </c>
      <c r="D107" s="204" t="s">
        <v>188</v>
      </c>
      <c r="E107" s="205" t="s">
        <v>6</v>
      </c>
      <c r="F107" s="205">
        <f>SUM(F109:F115)</f>
        <v>415.03</v>
      </c>
    </row>
    <row r="108" spans="1:6" s="185" customFormat="1" ht="15.75">
      <c r="A108" s="189" t="s">
        <v>551</v>
      </c>
      <c r="B108" s="205" t="s">
        <v>552</v>
      </c>
      <c r="C108" s="205" t="s">
        <v>553</v>
      </c>
      <c r="D108" s="205" t="s">
        <v>554</v>
      </c>
      <c r="E108" s="205" t="s">
        <v>555</v>
      </c>
      <c r="F108" s="205" t="s">
        <v>556</v>
      </c>
    </row>
    <row r="109" spans="1:6" s="186" customFormat="1" ht="31.5">
      <c r="A109" s="206" t="s">
        <v>632</v>
      </c>
      <c r="B109" s="234" t="s">
        <v>633</v>
      </c>
      <c r="C109" s="235" t="s">
        <v>109</v>
      </c>
      <c r="D109" s="236">
        <v>1</v>
      </c>
      <c r="E109" s="210">
        <v>242.57</v>
      </c>
      <c r="F109" s="211">
        <f aca="true" t="shared" si="1" ref="F109:F115">ROUND(D109*E109,2)</f>
        <v>242.57</v>
      </c>
    </row>
    <row r="110" spans="1:6" s="186" customFormat="1" ht="15.75">
      <c r="A110" s="206" t="s">
        <v>634</v>
      </c>
      <c r="B110" s="234" t="s">
        <v>635</v>
      </c>
      <c r="C110" s="235" t="s">
        <v>109</v>
      </c>
      <c r="D110" s="236">
        <v>2</v>
      </c>
      <c r="E110" s="210">
        <v>7.75</v>
      </c>
      <c r="F110" s="211">
        <f t="shared" si="1"/>
        <v>15.5</v>
      </c>
    </row>
    <row r="111" spans="1:6" s="186" customFormat="1" ht="47.25">
      <c r="A111" s="206">
        <v>87516</v>
      </c>
      <c r="B111" s="234" t="s">
        <v>636</v>
      </c>
      <c r="C111" s="235" t="s">
        <v>24</v>
      </c>
      <c r="D111" s="236">
        <f>0.9*0.6*2</f>
        <v>1.08</v>
      </c>
      <c r="E111" s="210">
        <v>97.85</v>
      </c>
      <c r="F111" s="211">
        <f t="shared" si="1"/>
        <v>105.68</v>
      </c>
    </row>
    <row r="112" spans="1:6" s="186" customFormat="1" ht="31.5">
      <c r="A112" s="206">
        <v>87878</v>
      </c>
      <c r="B112" s="234" t="s">
        <v>637</v>
      </c>
      <c r="C112" s="235" t="s">
        <v>24</v>
      </c>
      <c r="D112" s="236">
        <f>0.9*0.6*2</f>
        <v>1.08</v>
      </c>
      <c r="E112" s="210">
        <v>4.34</v>
      </c>
      <c r="F112" s="211">
        <f t="shared" si="1"/>
        <v>4.69</v>
      </c>
    </row>
    <row r="113" spans="1:6" s="186" customFormat="1" ht="47.25">
      <c r="A113" s="206">
        <v>87530</v>
      </c>
      <c r="B113" s="234" t="s">
        <v>638</v>
      </c>
      <c r="C113" s="235" t="s">
        <v>24</v>
      </c>
      <c r="D113" s="236">
        <f>0.9*0.6*2</f>
        <v>1.08</v>
      </c>
      <c r="E113" s="210">
        <v>32.66</v>
      </c>
      <c r="F113" s="211">
        <f t="shared" si="1"/>
        <v>35.27</v>
      </c>
    </row>
    <row r="114" spans="1:6" s="186" customFormat="1" ht="15.75">
      <c r="A114" s="206" t="s">
        <v>628</v>
      </c>
      <c r="B114" s="234" t="s">
        <v>629</v>
      </c>
      <c r="C114" s="235" t="s">
        <v>559</v>
      </c>
      <c r="D114" s="236">
        <v>0.07</v>
      </c>
      <c r="E114" s="210">
        <v>20.57</v>
      </c>
      <c r="F114" s="211">
        <f t="shared" si="1"/>
        <v>1.44</v>
      </c>
    </row>
    <row r="115" spans="1:6" s="187" customFormat="1" ht="15.75">
      <c r="A115" s="225" t="s">
        <v>630</v>
      </c>
      <c r="B115" s="233" t="s">
        <v>558</v>
      </c>
      <c r="C115" s="177" t="s">
        <v>559</v>
      </c>
      <c r="D115" s="224">
        <v>0.7</v>
      </c>
      <c r="E115" s="210">
        <v>14.11</v>
      </c>
      <c r="F115" s="211">
        <f t="shared" si="1"/>
        <v>9.88</v>
      </c>
    </row>
    <row r="117" spans="1:6" ht="15.75">
      <c r="A117" s="202" t="s">
        <v>639</v>
      </c>
      <c r="B117" s="203" t="s">
        <v>202</v>
      </c>
      <c r="C117" s="190" t="s">
        <v>550</v>
      </c>
      <c r="D117" s="204" t="s">
        <v>109</v>
      </c>
      <c r="E117" s="205" t="s">
        <v>6</v>
      </c>
      <c r="F117" s="205">
        <f>SUM(F119:F119)</f>
        <v>7.06</v>
      </c>
    </row>
    <row r="118" spans="1:7" s="1" customFormat="1" ht="15.75">
      <c r="A118" s="189" t="s">
        <v>551</v>
      </c>
      <c r="B118" s="205" t="s">
        <v>552</v>
      </c>
      <c r="C118" s="205" t="s">
        <v>553</v>
      </c>
      <c r="D118" s="205" t="s">
        <v>18</v>
      </c>
      <c r="E118" s="205" t="s">
        <v>617</v>
      </c>
      <c r="F118" s="205" t="s">
        <v>556</v>
      </c>
      <c r="G118" s="229"/>
    </row>
    <row r="119" spans="1:6" s="1" customFormat="1" ht="31.5">
      <c r="A119" s="230">
        <v>100947</v>
      </c>
      <c r="B119" s="231" t="s">
        <v>621</v>
      </c>
      <c r="C119" s="166" t="s">
        <v>619</v>
      </c>
      <c r="D119" s="211">
        <f>'ANEXO PB III Mem. de cálculo'!H435</f>
        <v>4.8</v>
      </c>
      <c r="E119" s="210">
        <v>1.47</v>
      </c>
      <c r="F119" s="211">
        <f>ROUND(D119*E119,2)</f>
        <v>7.06</v>
      </c>
    </row>
    <row r="121" spans="1:6" ht="15.75">
      <c r="A121" s="202" t="s">
        <v>640</v>
      </c>
      <c r="B121" s="203" t="s">
        <v>216</v>
      </c>
      <c r="C121" s="190" t="s">
        <v>550</v>
      </c>
      <c r="D121" s="204" t="s">
        <v>109</v>
      </c>
      <c r="E121" s="205" t="s">
        <v>6</v>
      </c>
      <c r="F121" s="205">
        <f>SUM(F123:F124)</f>
        <v>66.31</v>
      </c>
    </row>
    <row r="122" spans="1:7" s="1" customFormat="1" ht="15.75">
      <c r="A122" s="189" t="s">
        <v>551</v>
      </c>
      <c r="B122" s="205" t="s">
        <v>552</v>
      </c>
      <c r="C122" s="205" t="s">
        <v>553</v>
      </c>
      <c r="D122" s="205" t="s">
        <v>18</v>
      </c>
      <c r="E122" s="205" t="s">
        <v>617</v>
      </c>
      <c r="F122" s="205" t="s">
        <v>556</v>
      </c>
      <c r="G122" s="229"/>
    </row>
    <row r="123" spans="1:6" s="1" customFormat="1" ht="31.5">
      <c r="A123" s="230">
        <v>100947</v>
      </c>
      <c r="B123" s="231" t="s">
        <v>621</v>
      </c>
      <c r="C123" s="166" t="s">
        <v>619</v>
      </c>
      <c r="D123" s="211">
        <f>'ANEXO PB III Mem. de cálculo'!H505</f>
        <v>34.720000000000006</v>
      </c>
      <c r="E123" s="210">
        <v>1.47</v>
      </c>
      <c r="F123" s="211">
        <f>ROUND(D123*E123,2)</f>
        <v>51.04</v>
      </c>
    </row>
    <row r="124" spans="1:6" s="1" customFormat="1" ht="31.5">
      <c r="A124" s="230">
        <v>100948</v>
      </c>
      <c r="B124" s="231" t="s">
        <v>622</v>
      </c>
      <c r="C124" s="166" t="s">
        <v>619</v>
      </c>
      <c r="D124" s="211">
        <f>'ANEXO PB III Mem. de cálculo'!H506</f>
        <v>26.320000000000004</v>
      </c>
      <c r="E124" s="210">
        <v>0.58</v>
      </c>
      <c r="F124" s="211">
        <f>ROUND(D124*E124,2)</f>
        <v>15.27</v>
      </c>
    </row>
    <row r="126" spans="1:6" ht="15.75">
      <c r="A126" s="202" t="s">
        <v>641</v>
      </c>
      <c r="B126" s="203" t="s">
        <v>221</v>
      </c>
      <c r="C126" s="190" t="s">
        <v>550</v>
      </c>
      <c r="D126" s="204" t="s">
        <v>109</v>
      </c>
      <c r="E126" s="205" t="s">
        <v>6</v>
      </c>
      <c r="F126" s="205">
        <f>SUM(F128:F129)</f>
        <v>31.93</v>
      </c>
    </row>
    <row r="127" spans="1:6" ht="15.75">
      <c r="A127" s="189" t="s">
        <v>551</v>
      </c>
      <c r="B127" s="205" t="s">
        <v>552</v>
      </c>
      <c r="C127" s="205" t="s">
        <v>553</v>
      </c>
      <c r="D127" s="205" t="s">
        <v>18</v>
      </c>
      <c r="E127" s="205" t="s">
        <v>617</v>
      </c>
      <c r="F127" s="205" t="s">
        <v>556</v>
      </c>
    </row>
    <row r="128" spans="1:6" ht="31.5">
      <c r="A128" s="230">
        <v>100947</v>
      </c>
      <c r="B128" s="231" t="s">
        <v>621</v>
      </c>
      <c r="C128" s="166" t="s">
        <v>619</v>
      </c>
      <c r="D128" s="211">
        <f>'ANEXO PB III Mem. de cálculo'!H541</f>
        <v>16</v>
      </c>
      <c r="E128" s="210">
        <v>1.47</v>
      </c>
      <c r="F128" s="211">
        <f>ROUND(D128*E128,2)</f>
        <v>23.52</v>
      </c>
    </row>
    <row r="129" spans="1:6" ht="31.5">
      <c r="A129" s="230">
        <v>100948</v>
      </c>
      <c r="B129" s="231" t="s">
        <v>622</v>
      </c>
      <c r="C129" s="166" t="s">
        <v>619</v>
      </c>
      <c r="D129" s="211">
        <f>'ANEXO PB III Mem. de cálculo'!H542</f>
        <v>14.5</v>
      </c>
      <c r="E129" s="210">
        <v>0.58</v>
      </c>
      <c r="F129" s="211">
        <f>ROUND(D129*E129,2)</f>
        <v>8.41</v>
      </c>
    </row>
    <row r="131" spans="1:6" ht="31.5">
      <c r="A131" s="202" t="s">
        <v>642</v>
      </c>
      <c r="B131" s="203" t="s">
        <v>227</v>
      </c>
      <c r="C131" s="190" t="s">
        <v>550</v>
      </c>
      <c r="D131" s="204" t="s">
        <v>109</v>
      </c>
      <c r="E131" s="205" t="s">
        <v>6</v>
      </c>
      <c r="F131" s="205">
        <f>SUM(F133:F134)</f>
        <v>511.65</v>
      </c>
    </row>
    <row r="132" spans="1:6" ht="15.75">
      <c r="A132" s="189" t="s">
        <v>551</v>
      </c>
      <c r="B132" s="205" t="s">
        <v>552</v>
      </c>
      <c r="C132" s="205" t="s">
        <v>553</v>
      </c>
      <c r="D132" s="205" t="s">
        <v>18</v>
      </c>
      <c r="E132" s="205" t="s">
        <v>617</v>
      </c>
      <c r="F132" s="205" t="s">
        <v>556</v>
      </c>
    </row>
    <row r="133" spans="1:6" ht="31.5">
      <c r="A133" s="230">
        <v>100947</v>
      </c>
      <c r="B133" s="231" t="s">
        <v>621</v>
      </c>
      <c r="C133" s="166" t="s">
        <v>619</v>
      </c>
      <c r="D133" s="211">
        <f>'ANEXO PB III Mem. de cálculo'!H566</f>
        <v>259.59999999999997</v>
      </c>
      <c r="E133" s="210">
        <v>1.47</v>
      </c>
      <c r="F133" s="211">
        <f>ROUND(D133*E133,2)</f>
        <v>381.61</v>
      </c>
    </row>
    <row r="134" spans="1:6" ht="31.5">
      <c r="A134" s="230">
        <v>100948</v>
      </c>
      <c r="B134" s="231" t="s">
        <v>622</v>
      </c>
      <c r="C134" s="166" t="s">
        <v>619</v>
      </c>
      <c r="D134" s="211">
        <f>'ANEXO PB III Mem. de cálculo'!H567</f>
        <v>224.2</v>
      </c>
      <c r="E134" s="210">
        <v>0.58</v>
      </c>
      <c r="F134" s="211">
        <f>ROUND(D134*E134,2)</f>
        <v>130.04</v>
      </c>
    </row>
    <row r="136" spans="1:6" ht="31.5">
      <c r="A136" s="202" t="s">
        <v>643</v>
      </c>
      <c r="B136" s="203" t="s">
        <v>644</v>
      </c>
      <c r="C136" s="190" t="s">
        <v>550</v>
      </c>
      <c r="D136" s="204" t="s">
        <v>109</v>
      </c>
      <c r="E136" s="205" t="s">
        <v>6</v>
      </c>
      <c r="F136" s="205">
        <f>SUM(F138:F139)</f>
        <v>89.03</v>
      </c>
    </row>
    <row r="137" spans="1:6" ht="15.75">
      <c r="A137" s="189" t="s">
        <v>551</v>
      </c>
      <c r="B137" s="205" t="s">
        <v>552</v>
      </c>
      <c r="C137" s="205" t="s">
        <v>553</v>
      </c>
      <c r="D137" s="205" t="s">
        <v>18</v>
      </c>
      <c r="E137" s="205" t="s">
        <v>617</v>
      </c>
      <c r="F137" s="205" t="s">
        <v>556</v>
      </c>
    </row>
    <row r="138" spans="1:6" ht="31.5">
      <c r="A138" s="230">
        <v>100947</v>
      </c>
      <c r="B138" s="231" t="s">
        <v>621</v>
      </c>
      <c r="C138" s="166" t="s">
        <v>619</v>
      </c>
      <c r="D138" s="211">
        <f>'ANEXO PB III Mem. de cálculo'!H660</f>
        <v>44.699999999999996</v>
      </c>
      <c r="E138" s="210">
        <v>1.47</v>
      </c>
      <c r="F138" s="211">
        <f>ROUND(D138*E138,2)</f>
        <v>65.71</v>
      </c>
    </row>
    <row r="139" spans="1:6" ht="31.5">
      <c r="A139" s="230">
        <v>100948</v>
      </c>
      <c r="B139" s="231" t="s">
        <v>622</v>
      </c>
      <c r="C139" s="166" t="s">
        <v>619</v>
      </c>
      <c r="D139" s="211">
        <f>'ANEXO PB III Mem. de cálculo'!H661</f>
        <v>40.199999999999996</v>
      </c>
      <c r="E139" s="210">
        <v>0.58</v>
      </c>
      <c r="F139" s="211">
        <f>ROUND(D139*E139,2)</f>
        <v>23.32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1.18" right="0.79" top="1.18" bottom="0.79" header="0" footer="0.51"/>
  <pageSetup horizontalDpi="600" verticalDpi="600" orientation="portrait" paperSize="9" scale="61"/>
  <headerFooter>
    <oddHeader>&amp;C&amp;G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9.57421875" style="86" customWidth="1"/>
    <col min="2" max="2" width="30.140625" style="152" customWidth="1"/>
    <col min="3" max="3" width="30.00390625" style="152" customWidth="1"/>
    <col min="4" max="4" width="29.8515625" style="152" customWidth="1"/>
    <col min="5" max="5" width="14.7109375" style="152" customWidth="1"/>
  </cols>
  <sheetData>
    <row r="1" spans="1:5" ht="15.75">
      <c r="A1" s="153" t="s">
        <v>645</v>
      </c>
      <c r="B1" s="154"/>
      <c r="C1" s="154"/>
      <c r="D1" s="154"/>
      <c r="E1" s="154"/>
    </row>
    <row r="2" spans="1:5" ht="15.75">
      <c r="A2" s="155"/>
      <c r="B2" s="155"/>
      <c r="C2" s="155"/>
      <c r="D2" s="155"/>
      <c r="E2" s="155"/>
    </row>
    <row r="3" spans="1:5" ht="36.75" customHeight="1">
      <c r="A3" s="156" t="str">
        <f>'ANEXO PB IV Comp. auxiliares'!A3</f>
        <v>OBRA: CONTRATAÇÃO DE EMPRESA PARA RECUPERAÇÃO DOS PRÉDIOS DA DEFENSORIA PÚBLICA DO ESTADO DE RORAIMA NA CAPITAL E NOS MUNICÍPIO DO INTERIOR</v>
      </c>
      <c r="B3" s="157"/>
      <c r="C3" s="157"/>
      <c r="D3" s="157"/>
      <c r="E3" s="158"/>
    </row>
    <row r="4" spans="1:5" ht="15.75">
      <c r="A4" s="155"/>
      <c r="B4" s="155"/>
      <c r="C4" s="155"/>
      <c r="D4" s="155"/>
      <c r="E4" s="155"/>
    </row>
    <row r="5" spans="1:5" ht="16.5">
      <c r="A5" s="159" t="s">
        <v>646</v>
      </c>
      <c r="B5" s="160"/>
      <c r="C5" s="160"/>
      <c r="D5" s="160"/>
      <c r="E5" s="161"/>
    </row>
    <row r="6" spans="1:5" ht="15.75">
      <c r="A6" s="162" t="s">
        <v>647</v>
      </c>
      <c r="B6" s="163" t="s">
        <v>648</v>
      </c>
      <c r="C6" s="163" t="s">
        <v>649</v>
      </c>
      <c r="D6" s="163" t="s">
        <v>650</v>
      </c>
      <c r="E6" s="164"/>
    </row>
    <row r="7" spans="1:5" ht="94.5">
      <c r="A7" s="165" t="s">
        <v>16</v>
      </c>
      <c r="B7" s="166" t="s">
        <v>651</v>
      </c>
      <c r="C7" s="166" t="s">
        <v>652</v>
      </c>
      <c r="D7" s="166" t="s">
        <v>653</v>
      </c>
      <c r="E7" s="167" t="s">
        <v>654</v>
      </c>
    </row>
    <row r="8" spans="1:5" ht="48">
      <c r="A8" s="168" t="s">
        <v>108</v>
      </c>
      <c r="B8" s="169">
        <v>132</v>
      </c>
      <c r="C8" s="169">
        <v>81.59</v>
      </c>
      <c r="D8" s="166">
        <v>89.58</v>
      </c>
      <c r="E8" s="170">
        <f>MEDIAN(B8:D8)</f>
        <v>89.58</v>
      </c>
    </row>
    <row r="9" spans="1:5" ht="16.5">
      <c r="A9" s="171"/>
      <c r="B9" s="172"/>
      <c r="C9" s="173"/>
      <c r="D9" s="174"/>
      <c r="E9" s="174"/>
    </row>
    <row r="10" spans="1:5" ht="15.75">
      <c r="A10" s="162" t="s">
        <v>655</v>
      </c>
      <c r="B10" s="163" t="s">
        <v>648</v>
      </c>
      <c r="C10" s="163" t="s">
        <v>649</v>
      </c>
      <c r="D10" s="163" t="s">
        <v>650</v>
      </c>
      <c r="E10" s="164"/>
    </row>
    <row r="11" spans="1:5" ht="110.25">
      <c r="A11" s="165" t="s">
        <v>16</v>
      </c>
      <c r="B11" s="166" t="s">
        <v>656</v>
      </c>
      <c r="C11" s="166" t="s">
        <v>652</v>
      </c>
      <c r="D11" s="166" t="s">
        <v>653</v>
      </c>
      <c r="E11" s="167" t="s">
        <v>654</v>
      </c>
    </row>
    <row r="12" spans="1:5" ht="32.25">
      <c r="A12" s="168" t="s">
        <v>111</v>
      </c>
      <c r="B12" s="175">
        <v>68.65</v>
      </c>
      <c r="C12" s="175">
        <v>101.52</v>
      </c>
      <c r="D12" s="176">
        <v>60.48</v>
      </c>
      <c r="E12" s="170">
        <f>MEDIAN(B12:D12)</f>
        <v>68.65</v>
      </c>
    </row>
    <row r="13" ht="16.5">
      <c r="D13" s="174"/>
    </row>
    <row r="14" spans="1:5" ht="15.75">
      <c r="A14" s="162" t="s">
        <v>657</v>
      </c>
      <c r="B14" s="163" t="s">
        <v>648</v>
      </c>
      <c r="C14" s="163" t="s">
        <v>649</v>
      </c>
      <c r="D14" s="163" t="s">
        <v>650</v>
      </c>
      <c r="E14" s="164"/>
    </row>
    <row r="15" spans="1:5" ht="94.5">
      <c r="A15" s="165" t="s">
        <v>16</v>
      </c>
      <c r="B15" s="166" t="s">
        <v>658</v>
      </c>
      <c r="C15" s="166" t="s">
        <v>652</v>
      </c>
      <c r="D15" s="166" t="s">
        <v>653</v>
      </c>
      <c r="E15" s="167" t="s">
        <v>654</v>
      </c>
    </row>
    <row r="16" spans="1:6" ht="32.25">
      <c r="A16" s="168" t="s">
        <v>113</v>
      </c>
      <c r="B16" s="175">
        <v>6.6</v>
      </c>
      <c r="C16" s="175">
        <v>7.94</v>
      </c>
      <c r="D16" s="176">
        <v>28.36</v>
      </c>
      <c r="E16" s="170">
        <f>MEDIAN(B16:D16)</f>
        <v>7.94</v>
      </c>
      <c r="F16" s="664" t="s">
        <v>568</v>
      </c>
    </row>
    <row r="17" ht="16.5">
      <c r="D17" s="174"/>
    </row>
    <row r="18" spans="1:5" ht="15.75">
      <c r="A18" s="162" t="s">
        <v>659</v>
      </c>
      <c r="B18" s="163" t="s">
        <v>648</v>
      </c>
      <c r="C18" s="163" t="s">
        <v>649</v>
      </c>
      <c r="D18" s="163" t="s">
        <v>650</v>
      </c>
      <c r="E18" s="164"/>
    </row>
    <row r="19" spans="1:5" ht="94.5">
      <c r="A19" s="165" t="s">
        <v>16</v>
      </c>
      <c r="B19" s="166" t="s">
        <v>658</v>
      </c>
      <c r="C19" s="166" t="s">
        <v>652</v>
      </c>
      <c r="D19" s="166" t="s">
        <v>653</v>
      </c>
      <c r="E19" s="167" t="s">
        <v>654</v>
      </c>
    </row>
    <row r="20" spans="1:5" ht="32.25">
      <c r="A20" s="168" t="s">
        <v>115</v>
      </c>
      <c r="B20" s="175">
        <v>3.5</v>
      </c>
      <c r="C20" s="175">
        <v>8.29</v>
      </c>
      <c r="D20" s="176">
        <v>3.01</v>
      </c>
      <c r="E20" s="170">
        <f>MEDIAN(B20:D20)</f>
        <v>3.5</v>
      </c>
    </row>
    <row r="21" spans="1:5" ht="16.5">
      <c r="A21" s="171"/>
      <c r="B21" s="172"/>
      <c r="C21" s="173"/>
      <c r="D21" s="174"/>
      <c r="E21" s="174"/>
    </row>
    <row r="22" spans="1:5" ht="15.75">
      <c r="A22" s="162" t="s">
        <v>660</v>
      </c>
      <c r="B22" s="163" t="s">
        <v>648</v>
      </c>
      <c r="C22" s="163" t="s">
        <v>649</v>
      </c>
      <c r="D22" s="163" t="s">
        <v>650</v>
      </c>
      <c r="E22" s="164"/>
    </row>
    <row r="23" spans="1:5" ht="94.5">
      <c r="A23" s="165" t="s">
        <v>16</v>
      </c>
      <c r="B23" s="166" t="s">
        <v>658</v>
      </c>
      <c r="C23" s="166" t="s">
        <v>652</v>
      </c>
      <c r="D23" s="166" t="s">
        <v>653</v>
      </c>
      <c r="E23" s="167" t="s">
        <v>654</v>
      </c>
    </row>
    <row r="24" spans="1:5" ht="32.25">
      <c r="A24" s="168" t="s">
        <v>117</v>
      </c>
      <c r="B24" s="175">
        <v>18.5</v>
      </c>
      <c r="C24" s="175">
        <v>13.09</v>
      </c>
      <c r="D24" s="176">
        <v>32.16</v>
      </c>
      <c r="E24" s="170">
        <f>MEDIAN(B24:D24)</f>
        <v>18.5</v>
      </c>
    </row>
    <row r="25" ht="15.75">
      <c r="D25" s="174"/>
    </row>
    <row r="26" spans="1:5" ht="16.5">
      <c r="A26" s="159" t="s">
        <v>118</v>
      </c>
      <c r="B26" s="160"/>
      <c r="C26" s="160"/>
      <c r="D26" s="160"/>
      <c r="E26" s="161"/>
    </row>
    <row r="27" spans="1:5" ht="15.75">
      <c r="A27" s="162" t="s">
        <v>661</v>
      </c>
      <c r="B27" s="163" t="s">
        <v>648</v>
      </c>
      <c r="C27" s="163" t="s">
        <v>649</v>
      </c>
      <c r="D27" s="163" t="s">
        <v>650</v>
      </c>
      <c r="E27" s="164"/>
    </row>
    <row r="28" spans="1:5" ht="94.5">
      <c r="A28" s="165" t="s">
        <v>16</v>
      </c>
      <c r="B28" s="166" t="s">
        <v>658</v>
      </c>
      <c r="C28" s="166" t="s">
        <v>652</v>
      </c>
      <c r="D28" s="166" t="s">
        <v>653</v>
      </c>
      <c r="E28" s="167" t="s">
        <v>654</v>
      </c>
    </row>
    <row r="29" spans="1:5" ht="16.5">
      <c r="A29" s="168" t="s">
        <v>120</v>
      </c>
      <c r="B29" s="175">
        <v>19.5</v>
      </c>
      <c r="C29" s="175">
        <v>23.89</v>
      </c>
      <c r="D29" s="176">
        <v>12.09</v>
      </c>
      <c r="E29" s="170">
        <f>MEDIAN(B29:D29)</f>
        <v>19.5</v>
      </c>
    </row>
    <row r="30" ht="16.5">
      <c r="D30" s="174"/>
    </row>
    <row r="31" spans="1:5" ht="15.75">
      <c r="A31" s="162" t="s">
        <v>662</v>
      </c>
      <c r="B31" s="163" t="s">
        <v>648</v>
      </c>
      <c r="C31" s="163" t="s">
        <v>649</v>
      </c>
      <c r="D31" s="163" t="s">
        <v>650</v>
      </c>
      <c r="E31" s="164"/>
    </row>
    <row r="32" spans="1:5" ht="94.5">
      <c r="A32" s="165" t="s">
        <v>16</v>
      </c>
      <c r="B32" s="166" t="s">
        <v>658</v>
      </c>
      <c r="C32" s="166" t="s">
        <v>652</v>
      </c>
      <c r="D32" s="166" t="s">
        <v>653</v>
      </c>
      <c r="E32" s="167" t="s">
        <v>654</v>
      </c>
    </row>
    <row r="33" spans="1:5" ht="16.5">
      <c r="A33" s="168" t="s">
        <v>122</v>
      </c>
      <c r="B33" s="175">
        <v>15.5</v>
      </c>
      <c r="C33" s="175">
        <v>18.99</v>
      </c>
      <c r="D33" s="176">
        <v>12.93</v>
      </c>
      <c r="E33" s="170">
        <f>MEDIAN(B33:D33)</f>
        <v>15.5</v>
      </c>
    </row>
    <row r="34" ht="16.5">
      <c r="D34" s="174"/>
    </row>
    <row r="35" spans="1:5" ht="15.75">
      <c r="A35" s="162" t="s">
        <v>663</v>
      </c>
      <c r="B35" s="163" t="s">
        <v>648</v>
      </c>
      <c r="C35" s="163" t="s">
        <v>649</v>
      </c>
      <c r="D35" s="163" t="s">
        <v>650</v>
      </c>
      <c r="E35" s="164"/>
    </row>
    <row r="36" spans="1:5" ht="173.25">
      <c r="A36" s="165" t="s">
        <v>16</v>
      </c>
      <c r="B36" s="166" t="s">
        <v>664</v>
      </c>
      <c r="C36" s="166" t="s">
        <v>665</v>
      </c>
      <c r="D36" s="166" t="s">
        <v>666</v>
      </c>
      <c r="E36" s="167" t="s">
        <v>654</v>
      </c>
    </row>
    <row r="37" spans="1:5" ht="32.25">
      <c r="A37" s="168" t="s">
        <v>596</v>
      </c>
      <c r="B37" s="169">
        <f>127.2+(539.12/9)</f>
        <v>187.10222222222222</v>
      </c>
      <c r="C37" s="169">
        <f>146.97+(82.92/9)</f>
        <v>156.18333333333334</v>
      </c>
      <c r="D37" s="169">
        <f>192.36+(190.93/9)</f>
        <v>213.57444444444445</v>
      </c>
      <c r="E37" s="170">
        <f>MEDIAN(B37:D37)</f>
        <v>187.10222222222222</v>
      </c>
    </row>
    <row r="38" ht="16.5">
      <c r="D38" s="174"/>
    </row>
    <row r="39" spans="1:5" ht="15.75">
      <c r="A39" s="162" t="s">
        <v>667</v>
      </c>
      <c r="B39" s="163"/>
      <c r="C39" s="163" t="s">
        <v>649</v>
      </c>
      <c r="D39" s="163" t="s">
        <v>650</v>
      </c>
      <c r="E39" s="164"/>
    </row>
    <row r="40" spans="1:5" ht="236.25">
      <c r="A40" s="165" t="s">
        <v>16</v>
      </c>
      <c r="B40" s="166" t="s">
        <v>668</v>
      </c>
      <c r="C40" s="166" t="s">
        <v>669</v>
      </c>
      <c r="D40" s="166" t="s">
        <v>670</v>
      </c>
      <c r="E40" s="167" t="s">
        <v>654</v>
      </c>
    </row>
    <row r="41" spans="1:5" ht="32.25">
      <c r="A41" s="168" t="s">
        <v>671</v>
      </c>
      <c r="B41" s="177">
        <v>112.79</v>
      </c>
      <c r="C41" s="169">
        <f>102.02+98.7</f>
        <v>200.72</v>
      </c>
      <c r="D41" s="166">
        <f>134.95+31.68</f>
        <v>166.63</v>
      </c>
      <c r="E41" s="170">
        <f>MEDIAN(B41:D41)</f>
        <v>166.63</v>
      </c>
    </row>
    <row r="42" ht="15.75">
      <c r="D42" s="174"/>
    </row>
    <row r="43" spans="1:5" ht="16.5">
      <c r="A43" s="178" t="s">
        <v>97</v>
      </c>
      <c r="B43" s="179"/>
      <c r="C43" s="179"/>
      <c r="D43" s="179"/>
      <c r="E43" s="179"/>
    </row>
    <row r="44" spans="1:5" ht="15.75">
      <c r="A44" s="162" t="s">
        <v>672</v>
      </c>
      <c r="B44" s="163"/>
      <c r="C44" s="163" t="s">
        <v>649</v>
      </c>
      <c r="D44" s="163" t="s">
        <v>650</v>
      </c>
      <c r="E44" s="164"/>
    </row>
    <row r="45" spans="1:5" s="151" customFormat="1" ht="63">
      <c r="A45" s="165" t="s">
        <v>673</v>
      </c>
      <c r="B45" s="180" t="s">
        <v>674</v>
      </c>
      <c r="C45" s="176" t="s">
        <v>675</v>
      </c>
      <c r="D45" s="176" t="s">
        <v>676</v>
      </c>
      <c r="E45" s="167" t="s">
        <v>654</v>
      </c>
    </row>
    <row r="46" spans="1:5" s="151" customFormat="1" ht="32.25">
      <c r="A46" s="168" t="s">
        <v>677</v>
      </c>
      <c r="B46" s="176">
        <v>2.29</v>
      </c>
      <c r="C46" s="176">
        <v>2.59</v>
      </c>
      <c r="D46" s="176">
        <v>2.29</v>
      </c>
      <c r="E46" s="170">
        <f>MEDIAN(B46:D46)</f>
        <v>2.29</v>
      </c>
    </row>
    <row r="47" ht="16.5">
      <c r="D47" s="174"/>
    </row>
    <row r="48" spans="1:5" ht="15.75">
      <c r="A48" s="162" t="s">
        <v>678</v>
      </c>
      <c r="B48" s="163" t="s">
        <v>648</v>
      </c>
      <c r="C48" s="163" t="s">
        <v>649</v>
      </c>
      <c r="D48" s="163" t="s">
        <v>650</v>
      </c>
      <c r="E48" s="164"/>
    </row>
    <row r="49" spans="1:5" ht="94.5">
      <c r="A49" s="165" t="s">
        <v>673</v>
      </c>
      <c r="B49" s="180" t="s">
        <v>679</v>
      </c>
      <c r="C49" s="180" t="s">
        <v>652</v>
      </c>
      <c r="D49" s="181" t="s">
        <v>674</v>
      </c>
      <c r="E49" s="167" t="s">
        <v>654</v>
      </c>
    </row>
    <row r="50" spans="1:5" ht="32.25">
      <c r="A50" s="168" t="s">
        <v>575</v>
      </c>
      <c r="B50" s="176">
        <v>5</v>
      </c>
      <c r="C50" s="176">
        <v>20.29</v>
      </c>
      <c r="D50" s="177">
        <v>4.49</v>
      </c>
      <c r="E50" s="170">
        <f>MEDIAN(B50:D50)</f>
        <v>5</v>
      </c>
    </row>
    <row r="51" ht="16.5">
      <c r="D51" s="174"/>
    </row>
    <row r="52" spans="1:5" ht="15.75">
      <c r="A52" s="162" t="s">
        <v>680</v>
      </c>
      <c r="B52" s="163" t="s">
        <v>648</v>
      </c>
      <c r="C52" s="163" t="s">
        <v>649</v>
      </c>
      <c r="D52" s="163" t="s">
        <v>650</v>
      </c>
      <c r="E52" s="164"/>
    </row>
    <row r="53" spans="1:5" ht="110.25">
      <c r="A53" s="165" t="s">
        <v>176</v>
      </c>
      <c r="B53" s="180" t="s">
        <v>652</v>
      </c>
      <c r="C53" s="180" t="s">
        <v>656</v>
      </c>
      <c r="D53" s="180" t="s">
        <v>681</v>
      </c>
      <c r="E53" s="167" t="s">
        <v>654</v>
      </c>
    </row>
    <row r="54" spans="1:5" ht="16.5">
      <c r="A54" s="168" t="s">
        <v>682</v>
      </c>
      <c r="B54" s="176">
        <f>55.88/5</f>
        <v>11.176</v>
      </c>
      <c r="C54" s="176">
        <f>42.5/5</f>
        <v>8.5</v>
      </c>
      <c r="D54" s="176">
        <f>32.5/5</f>
        <v>6.5</v>
      </c>
      <c r="E54" s="170">
        <f>MEDIAN(B54:D54)</f>
        <v>8.5</v>
      </c>
    </row>
    <row r="55" ht="16.5">
      <c r="D55" s="174"/>
    </row>
    <row r="56" spans="1:5" ht="15.75">
      <c r="A56" s="162" t="s">
        <v>683</v>
      </c>
      <c r="B56" s="163" t="s">
        <v>648</v>
      </c>
      <c r="C56" s="163" t="s">
        <v>649</v>
      </c>
      <c r="D56" s="163" t="s">
        <v>650</v>
      </c>
      <c r="E56" s="164"/>
    </row>
    <row r="57" spans="1:5" ht="78.75">
      <c r="A57" s="165" t="s">
        <v>673</v>
      </c>
      <c r="B57" s="180" t="s">
        <v>684</v>
      </c>
      <c r="C57" s="176" t="s">
        <v>675</v>
      </c>
      <c r="D57" s="180" t="s">
        <v>674</v>
      </c>
      <c r="E57" s="167" t="s">
        <v>654</v>
      </c>
    </row>
    <row r="58" spans="1:5" ht="16.5">
      <c r="A58" s="168" t="s">
        <v>685</v>
      </c>
      <c r="B58" s="176">
        <v>2.5</v>
      </c>
      <c r="C58" s="176">
        <v>2.99</v>
      </c>
      <c r="D58" s="166">
        <v>3.99</v>
      </c>
      <c r="E58" s="170">
        <f>MEDIAN(B58:D58)</f>
        <v>2.99</v>
      </c>
    </row>
  </sheetData>
  <sheetProtection/>
  <mergeCells count="7">
    <mergeCell ref="A1:E1"/>
    <mergeCell ref="A2:E2"/>
    <mergeCell ref="A3:E3"/>
    <mergeCell ref="A4:E4"/>
    <mergeCell ref="A5:E5"/>
    <mergeCell ref="A26:E26"/>
    <mergeCell ref="A43:E43"/>
  </mergeCells>
  <hyperlinks>
    <hyperlink ref="D40" r:id="rId1" display="https://www.inspirehome.com.br/luminaria-de-embutir-comercial-retangular-refletor-aletas-2-tubular-t8-60cm-62-2x24-5cm-aluminio-lumavi-901?gclid=Cj0KCQjwm9yJBhDTARIsABKIcGa9itVIuHIEkePbDqRx71fBfP0Zks7wSqWRMu06l7wD2j4bmnrzdE4aAkFiEALw_wcB (acesso em 07/09/2021, às 20:17)"/>
    <hyperlink ref="C40" r:id="rId2" display="https://www.luminadomus.com.br/luminaria-iluminacao-comercial-retangular-plafon-embutir-refletor-2x-t8-20w-60cm-escritorios-escolas-bancos-comercio-a402?utm_source=Site&amp;utm_medium=GoogleMerchant&amp;utm_campaign=GoogleMerchant (acesso em 07/09/2021, às 20:09)"/>
    <hyperlink ref="B36" r:id="rId3" display="https://www.benluz.com.br/none-114340544?utm_source=Site&amp;utm_medium=GoogleMerchant&amp;utm_campaign=GoogleMerchant&amp;gclid=Cj0KCQjwm9yJBhDTARIsABKIcGasBd6x36cjKbX_apbIb2s9lVLZFwtYbm4Ojfh8t3zgj_7uLfO_ZKcaAsagEALw_wcB (Acesso em 07/09/2021, ás 19:28)"/>
    <hyperlink ref="C36" r:id="rId4" display=" https://www.inspirehome.com.br/checkout/cart/ (acesso em 07/09/2021, às 19:44)"/>
    <hyperlink ref="D36" r:id="rId5" display="https://www.blight.com.br/checkout/cart?session_id=fhmssj922mloqpqv3vgonru343&amp;store_id=683033#carrinho (acesso em 07/09/2021, às 20:01)"/>
    <hyperlink ref="B40" r:id="rId6" display="https://www.americanas.com.br/produto/105507276?opn=YSMESP&amp;sellerid=85014793000150&amp;epar=bp_pl_00_go_mv_todas_geral_gmv&amp;WT.srch=1&amp;acc=e789ea56094489dffd798f86ff51c7a9&amp;i=5cb006db49f937f6258de38d&amp;o=5d43ee8e6c28a3cb504a6362&amp;gclid=CjwKCAjwmeiIBhA6EiwA-uaeFehuipB2cylmzzyo8fmrMl2IKb_QkZUMA_XZ13LAj_fxVqH85pnBExoCuCwQAvD_BwE (acesso em 07/09/2021, às 20:05)"/>
  </hyperlinks>
  <printOptions/>
  <pageMargins left="1.18" right="0.79" top="1.18" bottom="0.79" header="0" footer="0.51"/>
  <pageSetup horizontalDpi="600" verticalDpi="600" orientation="portrait" paperSize="9" scale="58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1"/>
  <sheetViews>
    <sheetView view="pageBreakPreview" zoomScale="115" zoomScaleSheetLayoutView="115" workbookViewId="0" topLeftCell="A1">
      <selection activeCell="B12" sqref="B12:E12"/>
    </sheetView>
  </sheetViews>
  <sheetFormatPr defaultColWidth="9.140625" defaultRowHeight="12.75"/>
  <cols>
    <col min="1" max="1" width="9.7109375" style="138" customWidth="1"/>
    <col min="2" max="2" width="20.140625" style="138" customWidth="1"/>
    <col min="3" max="4" width="20.57421875" style="138" customWidth="1"/>
    <col min="5" max="5" width="8.8515625" style="138" customWidth="1"/>
    <col min="6" max="6" width="12.57421875" style="138" customWidth="1"/>
    <col min="7" max="7" width="12.140625" style="138" customWidth="1"/>
    <col min="8" max="8" width="12.7109375" style="138" customWidth="1"/>
    <col min="9" max="9" width="14.421875" style="86" customWidth="1"/>
  </cols>
  <sheetData>
    <row r="1" spans="1:9" ht="15.75">
      <c r="A1" s="139" t="s">
        <v>686</v>
      </c>
      <c r="B1" s="88"/>
      <c r="C1" s="88"/>
      <c r="D1" s="88"/>
      <c r="E1" s="88"/>
      <c r="F1" s="88"/>
      <c r="G1" s="88"/>
      <c r="H1" s="88"/>
      <c r="I1" s="129"/>
    </row>
    <row r="2" spans="1:9" ht="15.7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31.5" customHeight="1">
      <c r="A3" s="140" t="str">
        <f>'ANEXO PB  V Cotações'!A3</f>
        <v>OBRA: CONTRATAÇÃO DE EMPRESA PARA RECUPERAÇÃO DOS PRÉDIOS DA DEFENSORIA PÚBLICA DO ESTADO DE RORAIMA NA CAPITAL E NOS MUNICÍPIO DO INTERIOR</v>
      </c>
      <c r="B3" s="141"/>
      <c r="C3" s="141"/>
      <c r="D3" s="141"/>
      <c r="E3" s="141"/>
      <c r="F3" s="141"/>
      <c r="G3" s="141"/>
      <c r="H3" s="141"/>
      <c r="I3" s="146"/>
    </row>
    <row r="4" spans="1:9" ht="15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5.75">
      <c r="A5" s="92" t="s">
        <v>687</v>
      </c>
      <c r="B5" s="88"/>
      <c r="C5" s="88"/>
      <c r="D5" s="88"/>
      <c r="E5" s="88"/>
      <c r="F5" s="88"/>
      <c r="G5" s="88"/>
      <c r="H5" s="88"/>
      <c r="I5" s="129"/>
    </row>
    <row r="6" spans="1:9" ht="15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5.75">
      <c r="A7" s="142" t="s">
        <v>688</v>
      </c>
      <c r="B7" s="143"/>
      <c r="C7" s="143"/>
      <c r="D7" s="143"/>
      <c r="E7" s="143"/>
      <c r="F7" s="143"/>
      <c r="G7" s="143"/>
      <c r="H7" s="143"/>
      <c r="I7" s="147"/>
    </row>
    <row r="8" spans="1:9" ht="15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5.75">
      <c r="A9" s="94" t="s">
        <v>689</v>
      </c>
      <c r="B9" s="94"/>
      <c r="C9" s="94"/>
      <c r="D9" s="94"/>
      <c r="E9" s="94"/>
      <c r="F9" s="94" t="s">
        <v>690</v>
      </c>
      <c r="G9" s="94"/>
      <c r="H9" s="94"/>
      <c r="I9" s="94" t="s">
        <v>691</v>
      </c>
    </row>
    <row r="10" spans="1:9" ht="15.75">
      <c r="A10" s="94"/>
      <c r="B10" s="94"/>
      <c r="C10" s="94"/>
      <c r="D10" s="94"/>
      <c r="E10" s="94"/>
      <c r="F10" s="95" t="s">
        <v>692</v>
      </c>
      <c r="G10" s="95" t="s">
        <v>693</v>
      </c>
      <c r="H10" s="95" t="s">
        <v>694</v>
      </c>
      <c r="I10" s="94"/>
    </row>
    <row r="11" spans="1:9" ht="15.75">
      <c r="A11" s="94" t="s">
        <v>695</v>
      </c>
      <c r="B11" s="96" t="s">
        <v>696</v>
      </c>
      <c r="C11" s="96"/>
      <c r="D11" s="96"/>
      <c r="E11" s="96"/>
      <c r="F11" s="131">
        <v>0.03</v>
      </c>
      <c r="G11" s="144">
        <v>0.04</v>
      </c>
      <c r="H11" s="131">
        <v>0.055</v>
      </c>
      <c r="I11" s="131">
        <v>0.04</v>
      </c>
    </row>
    <row r="12" spans="1:9" ht="15.75">
      <c r="A12" s="94"/>
      <c r="B12" s="666" t="s">
        <v>568</v>
      </c>
      <c r="C12" s="99"/>
      <c r="D12" s="99"/>
      <c r="E12" s="99"/>
      <c r="F12" s="131">
        <v>0.008</v>
      </c>
      <c r="G12" s="144">
        <v>0.008</v>
      </c>
      <c r="H12" s="131">
        <v>0.01</v>
      </c>
      <c r="I12" s="131">
        <v>0.008</v>
      </c>
    </row>
    <row r="13" spans="1:9" ht="15.75">
      <c r="A13" s="94"/>
      <c r="B13" s="99" t="s">
        <v>697</v>
      </c>
      <c r="C13" s="99"/>
      <c r="D13" s="99"/>
      <c r="E13" s="99"/>
      <c r="F13" s="131">
        <v>0.0097</v>
      </c>
      <c r="G13" s="144">
        <v>0.0127</v>
      </c>
      <c r="H13" s="131">
        <v>0.0127</v>
      </c>
      <c r="I13" s="131">
        <v>0.0127</v>
      </c>
    </row>
    <row r="14" spans="1:9" ht="15.75">
      <c r="A14" s="94"/>
      <c r="B14" s="100" t="s">
        <v>698</v>
      </c>
      <c r="C14" s="100"/>
      <c r="D14" s="100"/>
      <c r="E14" s="100"/>
      <c r="F14" s="100"/>
      <c r="G14" s="100"/>
      <c r="H14" s="100"/>
      <c r="I14" s="103">
        <v>0.0607</v>
      </c>
    </row>
    <row r="15" spans="1:9" ht="15.75">
      <c r="A15" s="94" t="s">
        <v>699</v>
      </c>
      <c r="B15" s="96" t="s">
        <v>700</v>
      </c>
      <c r="C15" s="96"/>
      <c r="D15" s="96"/>
      <c r="E15" s="96"/>
      <c r="F15" s="131">
        <v>0.0059</v>
      </c>
      <c r="G15" s="144">
        <v>0.0123</v>
      </c>
      <c r="H15" s="131">
        <v>0.0139</v>
      </c>
      <c r="I15" s="102">
        <v>0.0123</v>
      </c>
    </row>
    <row r="16" spans="1:9" ht="15.75">
      <c r="A16" s="94"/>
      <c r="B16" s="100" t="s">
        <v>698</v>
      </c>
      <c r="C16" s="100"/>
      <c r="D16" s="100"/>
      <c r="E16" s="100"/>
      <c r="F16" s="100"/>
      <c r="G16" s="100"/>
      <c r="H16" s="100"/>
      <c r="I16" s="103">
        <v>0.0123</v>
      </c>
    </row>
    <row r="17" spans="1:9" ht="15.75">
      <c r="A17" s="94" t="s">
        <v>701</v>
      </c>
      <c r="B17" s="96" t="s">
        <v>702</v>
      </c>
      <c r="C17" s="96"/>
      <c r="D17" s="96"/>
      <c r="E17" s="96"/>
      <c r="F17" s="131">
        <v>0.0616</v>
      </c>
      <c r="G17" s="144">
        <v>0.074</v>
      </c>
      <c r="H17" s="131">
        <v>0.0896</v>
      </c>
      <c r="I17" s="102">
        <v>0.074</v>
      </c>
    </row>
    <row r="18" spans="1:9" ht="15.75">
      <c r="A18" s="94"/>
      <c r="B18" s="100" t="s">
        <v>698</v>
      </c>
      <c r="C18" s="100"/>
      <c r="D18" s="100"/>
      <c r="E18" s="100"/>
      <c r="F18" s="100"/>
      <c r="G18" s="100"/>
      <c r="H18" s="100"/>
      <c r="I18" s="103">
        <v>0.074</v>
      </c>
    </row>
    <row r="19" spans="1:9" ht="15.75">
      <c r="A19" s="94" t="s">
        <v>703</v>
      </c>
      <c r="B19" s="101" t="s">
        <v>704</v>
      </c>
      <c r="C19" s="101"/>
      <c r="D19" s="101"/>
      <c r="E19" s="101"/>
      <c r="F19" s="101"/>
      <c r="G19" s="101"/>
      <c r="H19" s="101"/>
      <c r="I19" s="132"/>
    </row>
    <row r="20" spans="1:9" ht="15.75">
      <c r="A20" s="94"/>
      <c r="B20" s="99" t="s">
        <v>705</v>
      </c>
      <c r="C20" s="99"/>
      <c r="D20" s="99"/>
      <c r="E20" s="99"/>
      <c r="F20" s="102">
        <v>0.03</v>
      </c>
      <c r="G20" s="103">
        <v>0.03</v>
      </c>
      <c r="H20" s="102">
        <v>0.03</v>
      </c>
      <c r="I20" s="102">
        <v>0.03</v>
      </c>
    </row>
    <row r="21" spans="1:9" ht="15.75">
      <c r="A21" s="94"/>
      <c r="B21" s="99" t="s">
        <v>706</v>
      </c>
      <c r="C21" s="99"/>
      <c r="D21" s="99"/>
      <c r="E21" s="99"/>
      <c r="F21" s="102">
        <v>0.0065</v>
      </c>
      <c r="G21" s="103">
        <v>0.0065</v>
      </c>
      <c r="H21" s="102">
        <v>0.0065</v>
      </c>
      <c r="I21" s="102">
        <v>0.0065</v>
      </c>
    </row>
    <row r="22" spans="1:9" ht="15.75">
      <c r="A22" s="94"/>
      <c r="B22" s="99" t="s">
        <v>707</v>
      </c>
      <c r="C22" s="99"/>
      <c r="D22" s="99"/>
      <c r="E22" s="99"/>
      <c r="F22" s="102">
        <v>0.02</v>
      </c>
      <c r="G22" s="103">
        <v>0.035</v>
      </c>
      <c r="H22" s="102">
        <v>0.05</v>
      </c>
      <c r="I22" s="102">
        <v>0.015</v>
      </c>
    </row>
    <row r="23" spans="1:9" ht="15.75">
      <c r="A23" s="94"/>
      <c r="B23" s="99" t="s">
        <v>708</v>
      </c>
      <c r="C23" s="99"/>
      <c r="D23" s="99"/>
      <c r="E23" s="99"/>
      <c r="F23" s="102">
        <v>0.045</v>
      </c>
      <c r="G23" s="103">
        <v>0.045</v>
      </c>
      <c r="H23" s="102">
        <v>0.045</v>
      </c>
      <c r="I23" s="102">
        <v>0.045</v>
      </c>
    </row>
    <row r="24" spans="1:9" ht="15.75">
      <c r="A24" s="94"/>
      <c r="B24" s="100" t="s">
        <v>698</v>
      </c>
      <c r="C24" s="100"/>
      <c r="D24" s="100"/>
      <c r="E24" s="100"/>
      <c r="F24" s="100"/>
      <c r="G24" s="100"/>
      <c r="H24" s="100"/>
      <c r="I24" s="133">
        <v>0.0965</v>
      </c>
    </row>
    <row r="25" spans="1:9" ht="15.75">
      <c r="A25" s="106" t="s">
        <v>709</v>
      </c>
      <c r="B25" s="106"/>
      <c r="C25" s="106"/>
      <c r="D25" s="106"/>
      <c r="E25" s="106"/>
      <c r="F25" s="106"/>
      <c r="G25" s="106"/>
      <c r="H25" s="106"/>
      <c r="I25" s="134">
        <v>0.2764</v>
      </c>
    </row>
    <row r="26" spans="1:9" ht="15.75">
      <c r="A26" s="107"/>
      <c r="B26" s="107"/>
      <c r="C26" s="107"/>
      <c r="D26" s="107"/>
      <c r="E26" s="107"/>
      <c r="F26" s="108"/>
      <c r="G26" s="108"/>
      <c r="H26" s="107"/>
      <c r="I26" s="108"/>
    </row>
    <row r="27" spans="1:9" ht="15.75">
      <c r="A27" s="95" t="s">
        <v>710</v>
      </c>
      <c r="B27" s="95"/>
      <c r="C27" s="95"/>
      <c r="D27" s="95"/>
      <c r="E27" s="95"/>
      <c r="F27" s="95" t="s">
        <v>711</v>
      </c>
      <c r="G27" s="95"/>
      <c r="H27" s="95"/>
      <c r="I27" s="95"/>
    </row>
    <row r="28" spans="1:9" ht="15.75">
      <c r="A28" s="109" t="s">
        <v>712</v>
      </c>
      <c r="B28" s="110" t="s">
        <v>713</v>
      </c>
      <c r="C28" s="110"/>
      <c r="D28" s="110"/>
      <c r="E28" s="110"/>
      <c r="F28" s="111"/>
      <c r="G28" s="111"/>
      <c r="H28" s="111"/>
      <c r="I28" s="111"/>
    </row>
    <row r="29" spans="1:9" ht="15.75">
      <c r="A29" s="112" t="s">
        <v>714</v>
      </c>
      <c r="B29" s="110" t="s">
        <v>715</v>
      </c>
      <c r="C29" s="110"/>
      <c r="D29" s="110"/>
      <c r="E29" s="110"/>
      <c r="F29" s="111"/>
      <c r="G29" s="111"/>
      <c r="H29" s="111"/>
      <c r="I29" s="111"/>
    </row>
    <row r="30" spans="1:9" ht="15.75">
      <c r="A30" s="112" t="s">
        <v>716</v>
      </c>
      <c r="B30" s="110" t="s">
        <v>702</v>
      </c>
      <c r="C30" s="110"/>
      <c r="D30" s="110"/>
      <c r="E30" s="110"/>
      <c r="F30" s="111"/>
      <c r="G30" s="111"/>
      <c r="H30" s="111"/>
      <c r="I30" s="111"/>
    </row>
    <row r="31" spans="1:9" ht="15.75">
      <c r="A31" s="112" t="s">
        <v>717</v>
      </c>
      <c r="B31" s="110" t="s">
        <v>718</v>
      </c>
      <c r="C31" s="110"/>
      <c r="D31" s="110"/>
      <c r="E31" s="110"/>
      <c r="F31" s="111"/>
      <c r="G31" s="111"/>
      <c r="H31" s="111"/>
      <c r="I31" s="111"/>
    </row>
    <row r="32" spans="1:9" ht="15.75">
      <c r="A32" s="107"/>
      <c r="B32" s="107"/>
      <c r="C32" s="107"/>
      <c r="D32" s="107"/>
      <c r="E32" s="107"/>
      <c r="F32" s="111"/>
      <c r="G32" s="111"/>
      <c r="H32" s="111"/>
      <c r="I32" s="111"/>
    </row>
    <row r="33" spans="1:9" ht="15.75">
      <c r="A33" s="113" t="s">
        <v>719</v>
      </c>
      <c r="B33" s="114" t="s">
        <v>720</v>
      </c>
      <c r="C33" s="114" t="s">
        <v>721</v>
      </c>
      <c r="D33" s="114" t="s">
        <v>722</v>
      </c>
      <c r="E33" s="115" t="s">
        <v>723</v>
      </c>
      <c r="F33" s="108"/>
      <c r="G33" s="108"/>
      <c r="H33" s="107"/>
      <c r="I33" s="108"/>
    </row>
    <row r="34" spans="1:9" ht="15.75">
      <c r="A34" s="113"/>
      <c r="B34" s="116"/>
      <c r="C34" s="116" t="s">
        <v>724</v>
      </c>
      <c r="D34" s="116"/>
      <c r="E34" s="115"/>
      <c r="F34" s="108"/>
      <c r="G34" s="108"/>
      <c r="H34" s="107"/>
      <c r="I34" s="108"/>
    </row>
    <row r="35" spans="1:9" ht="15.75">
      <c r="A35" s="107"/>
      <c r="B35" s="107"/>
      <c r="C35" s="107"/>
      <c r="D35" s="107"/>
      <c r="E35" s="107"/>
      <c r="F35" s="108"/>
      <c r="G35" s="108"/>
      <c r="H35" s="107"/>
      <c r="I35" s="108"/>
    </row>
    <row r="36" spans="1:9" ht="15.75">
      <c r="A36" s="107"/>
      <c r="B36" s="107"/>
      <c r="C36" s="107"/>
      <c r="D36" s="107"/>
      <c r="E36" s="107"/>
      <c r="F36" s="108"/>
      <c r="G36" s="108"/>
      <c r="H36" s="107"/>
      <c r="I36" s="108"/>
    </row>
    <row r="37" spans="1:9" ht="15.75">
      <c r="A37" s="113" t="s">
        <v>719</v>
      </c>
      <c r="B37" s="117">
        <v>0.0607</v>
      </c>
      <c r="C37" s="117">
        <v>0.0123</v>
      </c>
      <c r="D37" s="118">
        <v>0.074</v>
      </c>
      <c r="E37" s="115" t="s">
        <v>723</v>
      </c>
      <c r="F37" s="108"/>
      <c r="G37" s="108"/>
      <c r="H37" s="107"/>
      <c r="I37" s="108"/>
    </row>
    <row r="38" spans="1:9" ht="15.75">
      <c r="A38" s="113"/>
      <c r="B38" s="116"/>
      <c r="C38" s="119">
        <v>0.0965</v>
      </c>
      <c r="D38" s="116"/>
      <c r="E38" s="115"/>
      <c r="F38" s="108"/>
      <c r="G38" s="108"/>
      <c r="H38" s="107"/>
      <c r="I38" s="108"/>
    </row>
    <row r="39" spans="1:9" ht="15.75">
      <c r="A39" s="107"/>
      <c r="B39" s="107"/>
      <c r="C39" s="107"/>
      <c r="D39" s="107"/>
      <c r="E39" s="107"/>
      <c r="F39" s="108"/>
      <c r="G39" s="108"/>
      <c r="H39" s="107"/>
      <c r="I39" s="108"/>
    </row>
    <row r="40" spans="1:9" ht="15.75">
      <c r="A40" s="107"/>
      <c r="B40" s="107"/>
      <c r="C40" s="107"/>
      <c r="D40" s="107"/>
      <c r="E40" s="107"/>
      <c r="F40" s="108"/>
      <c r="G40" s="108"/>
      <c r="H40" s="107"/>
      <c r="I40" s="108"/>
    </row>
    <row r="41" spans="1:9" ht="15.75">
      <c r="A41" s="113" t="s">
        <v>719</v>
      </c>
      <c r="B41" s="120">
        <v>1.0607</v>
      </c>
      <c r="C41" s="120">
        <v>1.0123</v>
      </c>
      <c r="D41" s="121">
        <v>1.074</v>
      </c>
      <c r="E41" s="115" t="s">
        <v>723</v>
      </c>
      <c r="F41" s="108"/>
      <c r="G41" s="108"/>
      <c r="H41" s="107"/>
      <c r="I41" s="108"/>
    </row>
    <row r="42" spans="1:9" ht="15.75">
      <c r="A42" s="113"/>
      <c r="B42" s="116"/>
      <c r="C42" s="122">
        <v>0.9035</v>
      </c>
      <c r="D42" s="116"/>
      <c r="E42" s="115"/>
      <c r="F42" s="108"/>
      <c r="G42" s="108"/>
      <c r="H42" s="107"/>
      <c r="I42" s="108"/>
    </row>
    <row r="43" spans="1:9" ht="15.75">
      <c r="A43" s="107"/>
      <c r="B43" s="107"/>
      <c r="C43" s="107"/>
      <c r="D43" s="107"/>
      <c r="E43" s="107"/>
      <c r="F43" s="108"/>
      <c r="G43" s="108"/>
      <c r="H43" s="107"/>
      <c r="I43" s="108"/>
    </row>
    <row r="44" spans="1:9" ht="15.75">
      <c r="A44" s="107"/>
      <c r="B44" s="107"/>
      <c r="C44" s="107"/>
      <c r="D44" s="107"/>
      <c r="E44" s="107"/>
      <c r="F44" s="108"/>
      <c r="G44" s="108"/>
      <c r="H44" s="107"/>
      <c r="I44" s="108"/>
    </row>
    <row r="45" spans="1:9" ht="15.75">
      <c r="A45" s="113" t="s">
        <v>719</v>
      </c>
      <c r="B45" s="121">
        <v>1.15320385914</v>
      </c>
      <c r="C45" s="123" t="s">
        <v>725</v>
      </c>
      <c r="D45" s="107"/>
      <c r="E45" s="107"/>
      <c r="F45" s="108"/>
      <c r="G45" s="108"/>
      <c r="H45" s="107"/>
      <c r="I45" s="108"/>
    </row>
    <row r="46" spans="1:9" ht="15.75">
      <c r="A46" s="113"/>
      <c r="B46" s="122">
        <v>0.9035</v>
      </c>
      <c r="C46" s="123"/>
      <c r="D46" s="107"/>
      <c r="E46" s="107"/>
      <c r="F46" s="108"/>
      <c r="G46" s="108"/>
      <c r="H46" s="107"/>
      <c r="I46" s="108"/>
    </row>
    <row r="47" spans="1:9" ht="15.75">
      <c r="A47" s="107"/>
      <c r="B47" s="107"/>
      <c r="C47" s="107"/>
      <c r="D47" s="107"/>
      <c r="E47" s="107"/>
      <c r="F47" s="108"/>
      <c r="G47" s="108"/>
      <c r="H47" s="107"/>
      <c r="I47" s="108"/>
    </row>
    <row r="48" spans="1:9" ht="15.75">
      <c r="A48" s="107"/>
      <c r="B48" s="107"/>
      <c r="C48" s="107"/>
      <c r="D48" s="107"/>
      <c r="E48" s="107"/>
      <c r="F48" s="108"/>
      <c r="G48" s="108"/>
      <c r="H48" s="107"/>
      <c r="I48" s="108"/>
    </row>
    <row r="49" spans="1:9" ht="15.75">
      <c r="A49" s="113" t="s">
        <v>719</v>
      </c>
      <c r="B49" s="124">
        <v>1.27637394481461</v>
      </c>
      <c r="C49" s="123" t="s">
        <v>725</v>
      </c>
      <c r="D49" s="107"/>
      <c r="E49" s="125" t="s">
        <v>719</v>
      </c>
      <c r="F49" s="126">
        <v>0.2764</v>
      </c>
      <c r="G49" s="108"/>
      <c r="H49" s="107"/>
      <c r="I49" s="108"/>
    </row>
    <row r="50" spans="1:9" ht="15.75">
      <c r="A50" s="113"/>
      <c r="B50" s="124"/>
      <c r="C50" s="123"/>
      <c r="D50" s="107"/>
      <c r="E50" s="125"/>
      <c r="F50" s="126"/>
      <c r="G50" s="108"/>
      <c r="H50" s="107"/>
      <c r="I50" s="108"/>
    </row>
    <row r="51" spans="1:9" ht="15.75">
      <c r="A51" s="107"/>
      <c r="B51" s="107"/>
      <c r="C51" s="107"/>
      <c r="D51" s="107"/>
      <c r="E51" s="107"/>
      <c r="F51" s="108"/>
      <c r="G51" s="108"/>
      <c r="H51" s="107"/>
      <c r="I51" s="108"/>
    </row>
    <row r="53" spans="1:9" ht="15.75">
      <c r="A53" s="92" t="s">
        <v>726</v>
      </c>
      <c r="B53" s="88"/>
      <c r="C53" s="88"/>
      <c r="D53" s="88"/>
      <c r="E53" s="88"/>
      <c r="F53" s="88"/>
      <c r="G53" s="88"/>
      <c r="H53" s="88"/>
      <c r="I53" s="129"/>
    </row>
    <row r="54" spans="1:9" ht="15.75">
      <c r="A54" s="127"/>
      <c r="B54" s="128"/>
      <c r="C54" s="128"/>
      <c r="D54" s="128"/>
      <c r="E54" s="128"/>
      <c r="F54" s="128"/>
      <c r="G54" s="128"/>
      <c r="H54" s="128"/>
      <c r="I54" s="135"/>
    </row>
    <row r="55" spans="1:9" ht="15.75">
      <c r="A55" s="93" t="s">
        <v>688</v>
      </c>
      <c r="B55" s="93"/>
      <c r="C55" s="93"/>
      <c r="D55" s="93"/>
      <c r="E55" s="93"/>
      <c r="F55" s="93"/>
      <c r="G55" s="93"/>
      <c r="H55" s="93"/>
      <c r="I55" s="93"/>
    </row>
    <row r="56" spans="1:9" ht="15.75">
      <c r="A56" s="107"/>
      <c r="B56" s="107"/>
      <c r="C56" s="107"/>
      <c r="D56" s="107"/>
      <c r="E56" s="107"/>
      <c r="F56" s="108"/>
      <c r="G56" s="108"/>
      <c r="H56" s="107"/>
      <c r="I56" s="108"/>
    </row>
    <row r="57" spans="1:9" ht="15.75">
      <c r="A57" s="94" t="s">
        <v>689</v>
      </c>
      <c r="B57" s="94"/>
      <c r="C57" s="94"/>
      <c r="D57" s="94"/>
      <c r="E57" s="94"/>
      <c r="F57" s="94" t="s">
        <v>690</v>
      </c>
      <c r="G57" s="94"/>
      <c r="H57" s="94"/>
      <c r="I57" s="94" t="s">
        <v>691</v>
      </c>
    </row>
    <row r="58" spans="1:9" ht="15.75">
      <c r="A58" s="94"/>
      <c r="B58" s="94"/>
      <c r="C58" s="94"/>
      <c r="D58" s="94"/>
      <c r="E58" s="94"/>
      <c r="F58" s="95" t="s">
        <v>692</v>
      </c>
      <c r="G58" s="95" t="s">
        <v>693</v>
      </c>
      <c r="H58" s="95" t="s">
        <v>694</v>
      </c>
      <c r="I58" s="94"/>
    </row>
    <row r="59" spans="1:9" ht="15.75">
      <c r="A59" s="94" t="s">
        <v>695</v>
      </c>
      <c r="B59" s="96" t="s">
        <v>696</v>
      </c>
      <c r="C59" s="96"/>
      <c r="D59" s="96"/>
      <c r="E59" s="96"/>
      <c r="F59" s="131">
        <v>0.03</v>
      </c>
      <c r="G59" s="144">
        <v>0.04</v>
      </c>
      <c r="H59" s="131">
        <v>0.055</v>
      </c>
      <c r="I59" s="131">
        <v>0.04</v>
      </c>
    </row>
    <row r="60" spans="1:9" ht="15.75">
      <c r="A60" s="94"/>
      <c r="B60" s="99" t="s">
        <v>727</v>
      </c>
      <c r="C60" s="99"/>
      <c r="D60" s="99"/>
      <c r="E60" s="99"/>
      <c r="F60" s="131">
        <v>0.008</v>
      </c>
      <c r="G60" s="144">
        <v>0.008</v>
      </c>
      <c r="H60" s="131">
        <v>0.01</v>
      </c>
      <c r="I60" s="131">
        <v>0.008</v>
      </c>
    </row>
    <row r="61" spans="1:9" ht="15.75">
      <c r="A61" s="94"/>
      <c r="B61" s="99" t="s">
        <v>697</v>
      </c>
      <c r="C61" s="99"/>
      <c r="D61" s="99"/>
      <c r="E61" s="99"/>
      <c r="F61" s="131">
        <v>0.0097</v>
      </c>
      <c r="G61" s="144">
        <v>0.0127</v>
      </c>
      <c r="H61" s="131">
        <v>0.0127</v>
      </c>
      <c r="I61" s="131">
        <v>0.0127</v>
      </c>
    </row>
    <row r="62" spans="1:9" ht="15.75">
      <c r="A62" s="94"/>
      <c r="B62" s="100" t="s">
        <v>698</v>
      </c>
      <c r="C62" s="100"/>
      <c r="D62" s="100"/>
      <c r="E62" s="100"/>
      <c r="F62" s="100"/>
      <c r="G62" s="100"/>
      <c r="H62" s="100"/>
      <c r="I62" s="103">
        <v>0.0607</v>
      </c>
    </row>
    <row r="63" spans="1:9" ht="15.75">
      <c r="A63" s="94" t="s">
        <v>699</v>
      </c>
      <c r="B63" s="96" t="s">
        <v>700</v>
      </c>
      <c r="C63" s="96"/>
      <c r="D63" s="96"/>
      <c r="E63" s="96"/>
      <c r="F63" s="131">
        <v>0.0059</v>
      </c>
      <c r="G63" s="144">
        <v>0.0123</v>
      </c>
      <c r="H63" s="131">
        <v>0.0139</v>
      </c>
      <c r="I63" s="102">
        <v>0.0123</v>
      </c>
    </row>
    <row r="64" spans="1:9" ht="15.75">
      <c r="A64" s="94"/>
      <c r="B64" s="100" t="s">
        <v>698</v>
      </c>
      <c r="C64" s="100"/>
      <c r="D64" s="100"/>
      <c r="E64" s="100"/>
      <c r="F64" s="100"/>
      <c r="G64" s="100"/>
      <c r="H64" s="100"/>
      <c r="I64" s="103">
        <v>0.0123</v>
      </c>
    </row>
    <row r="65" spans="1:9" ht="15.75">
      <c r="A65" s="94" t="s">
        <v>701</v>
      </c>
      <c r="B65" s="96" t="s">
        <v>702</v>
      </c>
      <c r="C65" s="96"/>
      <c r="D65" s="96"/>
      <c r="E65" s="96"/>
      <c r="F65" s="131">
        <v>0.0616</v>
      </c>
      <c r="G65" s="144">
        <v>0.074</v>
      </c>
      <c r="H65" s="131">
        <v>0.0896</v>
      </c>
      <c r="I65" s="102">
        <v>0.074</v>
      </c>
    </row>
    <row r="66" spans="1:9" ht="15.75">
      <c r="A66" s="94"/>
      <c r="B66" s="100" t="s">
        <v>698</v>
      </c>
      <c r="C66" s="100"/>
      <c r="D66" s="100"/>
      <c r="E66" s="100"/>
      <c r="F66" s="100"/>
      <c r="G66" s="100"/>
      <c r="H66" s="100"/>
      <c r="I66" s="103">
        <v>0.074</v>
      </c>
    </row>
    <row r="67" spans="1:9" ht="15.75">
      <c r="A67" s="94" t="s">
        <v>703</v>
      </c>
      <c r="B67" s="101" t="s">
        <v>704</v>
      </c>
      <c r="C67" s="101"/>
      <c r="D67" s="101"/>
      <c r="E67" s="101"/>
      <c r="F67" s="101"/>
      <c r="G67" s="101"/>
      <c r="H67" s="101"/>
      <c r="I67" s="132"/>
    </row>
    <row r="68" spans="1:9" ht="15.75">
      <c r="A68" s="94"/>
      <c r="B68" s="99" t="s">
        <v>705</v>
      </c>
      <c r="C68" s="99"/>
      <c r="D68" s="99"/>
      <c r="E68" s="99"/>
      <c r="F68" s="102">
        <v>0.03</v>
      </c>
      <c r="G68" s="103">
        <v>0.03</v>
      </c>
      <c r="H68" s="102">
        <v>0.03</v>
      </c>
      <c r="I68" s="102">
        <v>0.03</v>
      </c>
    </row>
    <row r="69" spans="1:9" ht="15.75">
      <c r="A69" s="94"/>
      <c r="B69" s="99" t="s">
        <v>706</v>
      </c>
      <c r="C69" s="99"/>
      <c r="D69" s="99"/>
      <c r="E69" s="99"/>
      <c r="F69" s="102">
        <v>0.0065</v>
      </c>
      <c r="G69" s="103">
        <v>0.0065</v>
      </c>
      <c r="H69" s="102">
        <v>0.0065</v>
      </c>
      <c r="I69" s="102">
        <v>0.0065</v>
      </c>
    </row>
    <row r="70" spans="1:9" ht="15.75">
      <c r="A70" s="94"/>
      <c r="B70" s="99" t="s">
        <v>707</v>
      </c>
      <c r="C70" s="99"/>
      <c r="D70" s="99"/>
      <c r="E70" s="99"/>
      <c r="F70" s="102">
        <v>0.02</v>
      </c>
      <c r="G70" s="103">
        <v>0.035</v>
      </c>
      <c r="H70" s="102">
        <v>0.05</v>
      </c>
      <c r="I70" s="102">
        <v>0.0225</v>
      </c>
    </row>
    <row r="71" spans="1:9" ht="15.75">
      <c r="A71" s="94"/>
      <c r="B71" s="99" t="s">
        <v>708</v>
      </c>
      <c r="C71" s="99"/>
      <c r="D71" s="99"/>
      <c r="E71" s="99"/>
      <c r="F71" s="102">
        <v>0.045</v>
      </c>
      <c r="G71" s="103">
        <v>0.045</v>
      </c>
      <c r="H71" s="102">
        <v>0.045</v>
      </c>
      <c r="I71" s="102">
        <v>0.045</v>
      </c>
    </row>
    <row r="72" spans="1:9" ht="15.75">
      <c r="A72" s="94"/>
      <c r="B72" s="100" t="s">
        <v>698</v>
      </c>
      <c r="C72" s="100"/>
      <c r="D72" s="100"/>
      <c r="E72" s="100"/>
      <c r="F72" s="100"/>
      <c r="G72" s="100"/>
      <c r="H72" s="100"/>
      <c r="I72" s="133">
        <v>0.104</v>
      </c>
    </row>
    <row r="73" spans="1:9" ht="15.75">
      <c r="A73" s="106" t="s">
        <v>709</v>
      </c>
      <c r="B73" s="106"/>
      <c r="C73" s="106"/>
      <c r="D73" s="106"/>
      <c r="E73" s="106"/>
      <c r="F73" s="106"/>
      <c r="G73" s="106"/>
      <c r="H73" s="106"/>
      <c r="I73" s="134">
        <v>0.2871</v>
      </c>
    </row>
    <row r="74" spans="1:9" ht="15.75">
      <c r="A74" s="107"/>
      <c r="B74" s="107"/>
      <c r="C74" s="107"/>
      <c r="D74" s="107"/>
      <c r="E74" s="107"/>
      <c r="F74" s="108"/>
      <c r="G74" s="108"/>
      <c r="H74" s="107"/>
      <c r="I74" s="108"/>
    </row>
    <row r="75" spans="1:9" ht="15.75">
      <c r="A75" s="95" t="s">
        <v>710</v>
      </c>
      <c r="B75" s="95"/>
      <c r="C75" s="95"/>
      <c r="D75" s="95"/>
      <c r="E75" s="95"/>
      <c r="F75" s="95" t="s">
        <v>711</v>
      </c>
      <c r="G75" s="95"/>
      <c r="H75" s="95"/>
      <c r="I75" s="95"/>
    </row>
    <row r="76" spans="1:9" ht="15.75">
      <c r="A76" s="109" t="s">
        <v>712</v>
      </c>
      <c r="B76" s="110" t="s">
        <v>713</v>
      </c>
      <c r="C76" s="110"/>
      <c r="D76" s="110"/>
      <c r="E76" s="110"/>
      <c r="F76" s="111"/>
      <c r="G76" s="111"/>
      <c r="H76" s="111"/>
      <c r="I76" s="111"/>
    </row>
    <row r="77" spans="1:9" ht="15.75">
      <c r="A77" s="112" t="s">
        <v>714</v>
      </c>
      <c r="B77" s="110" t="s">
        <v>715</v>
      </c>
      <c r="C77" s="110"/>
      <c r="D77" s="110"/>
      <c r="E77" s="110"/>
      <c r="F77" s="111"/>
      <c r="G77" s="111"/>
      <c r="H77" s="111"/>
      <c r="I77" s="111"/>
    </row>
    <row r="78" spans="1:9" ht="15.75">
      <c r="A78" s="112" t="s">
        <v>716</v>
      </c>
      <c r="B78" s="110" t="s">
        <v>702</v>
      </c>
      <c r="C78" s="110"/>
      <c r="D78" s="110"/>
      <c r="E78" s="110"/>
      <c r="F78" s="111"/>
      <c r="G78" s="111"/>
      <c r="H78" s="111"/>
      <c r="I78" s="111"/>
    </row>
    <row r="79" spans="1:9" ht="15.75">
      <c r="A79" s="112" t="s">
        <v>717</v>
      </c>
      <c r="B79" s="110" t="s">
        <v>718</v>
      </c>
      <c r="C79" s="110"/>
      <c r="D79" s="110"/>
      <c r="E79" s="110"/>
      <c r="F79" s="111"/>
      <c r="G79" s="111"/>
      <c r="H79" s="111"/>
      <c r="I79" s="111"/>
    </row>
    <row r="80" spans="1:9" ht="15.75">
      <c r="A80" s="107"/>
      <c r="B80" s="107"/>
      <c r="C80" s="107"/>
      <c r="D80" s="107"/>
      <c r="E80" s="107"/>
      <c r="F80" s="111"/>
      <c r="G80" s="111"/>
      <c r="H80" s="111"/>
      <c r="I80" s="111"/>
    </row>
    <row r="81" spans="1:9" ht="15.75">
      <c r="A81" s="113" t="s">
        <v>719</v>
      </c>
      <c r="B81" s="114" t="s">
        <v>720</v>
      </c>
      <c r="C81" s="114" t="s">
        <v>721</v>
      </c>
      <c r="D81" s="114" t="s">
        <v>722</v>
      </c>
      <c r="E81" s="115" t="s">
        <v>723</v>
      </c>
      <c r="F81" s="108"/>
      <c r="G81" s="108"/>
      <c r="H81" s="107"/>
      <c r="I81" s="108"/>
    </row>
    <row r="82" spans="1:9" ht="15.75">
      <c r="A82" s="113"/>
      <c r="B82" s="116"/>
      <c r="C82" s="116" t="s">
        <v>724</v>
      </c>
      <c r="D82" s="116"/>
      <c r="E82" s="115"/>
      <c r="F82" s="108"/>
      <c r="G82" s="108"/>
      <c r="H82" s="107"/>
      <c r="I82" s="108"/>
    </row>
    <row r="83" spans="1:9" ht="15.75">
      <c r="A83" s="107"/>
      <c r="B83" s="107"/>
      <c r="C83" s="107"/>
      <c r="D83" s="107"/>
      <c r="E83" s="107"/>
      <c r="F83" s="108"/>
      <c r="G83" s="108"/>
      <c r="H83" s="107"/>
      <c r="I83" s="108"/>
    </row>
    <row r="84" spans="1:9" ht="15.75">
      <c r="A84" s="107"/>
      <c r="B84" s="107"/>
      <c r="C84" s="107"/>
      <c r="D84" s="107"/>
      <c r="E84" s="107"/>
      <c r="F84" s="108"/>
      <c r="G84" s="108"/>
      <c r="H84" s="107"/>
      <c r="I84" s="108"/>
    </row>
    <row r="85" spans="1:9" ht="15.75">
      <c r="A85" s="113" t="s">
        <v>719</v>
      </c>
      <c r="B85" s="117">
        <v>0.0607</v>
      </c>
      <c r="C85" s="117">
        <v>0.0123</v>
      </c>
      <c r="D85" s="118">
        <v>0.074</v>
      </c>
      <c r="E85" s="115" t="s">
        <v>723</v>
      </c>
      <c r="F85" s="108"/>
      <c r="G85" s="108"/>
      <c r="H85" s="107"/>
      <c r="I85" s="108"/>
    </row>
    <row r="86" spans="1:9" ht="15.75">
      <c r="A86" s="113"/>
      <c r="B86" s="116"/>
      <c r="C86" s="119">
        <v>0.104</v>
      </c>
      <c r="D86" s="116"/>
      <c r="E86" s="115"/>
      <c r="F86" s="108"/>
      <c r="G86" s="108"/>
      <c r="H86" s="107"/>
      <c r="I86" s="108"/>
    </row>
    <row r="87" spans="1:9" ht="15.75">
      <c r="A87" s="107"/>
      <c r="B87" s="107"/>
      <c r="C87" s="107"/>
      <c r="D87" s="107"/>
      <c r="E87" s="107"/>
      <c r="F87" s="108"/>
      <c r="G87" s="108"/>
      <c r="H87" s="107"/>
      <c r="I87" s="108"/>
    </row>
    <row r="88" spans="1:9" ht="15.75">
      <c r="A88" s="107"/>
      <c r="B88" s="107"/>
      <c r="C88" s="107"/>
      <c r="D88" s="107"/>
      <c r="E88" s="107"/>
      <c r="F88" s="108"/>
      <c r="G88" s="108"/>
      <c r="H88" s="107"/>
      <c r="I88" s="108"/>
    </row>
    <row r="89" spans="1:9" ht="15.75">
      <c r="A89" s="113" t="s">
        <v>719</v>
      </c>
      <c r="B89" s="120">
        <v>1.0607</v>
      </c>
      <c r="C89" s="120">
        <v>1.0123</v>
      </c>
      <c r="D89" s="121">
        <v>1.074</v>
      </c>
      <c r="E89" s="115" t="s">
        <v>723</v>
      </c>
      <c r="F89" s="108"/>
      <c r="G89" s="108"/>
      <c r="H89" s="107"/>
      <c r="I89" s="108"/>
    </row>
    <row r="90" spans="1:9" ht="15.75">
      <c r="A90" s="113"/>
      <c r="B90" s="116"/>
      <c r="C90" s="122">
        <v>0.896</v>
      </c>
      <c r="D90" s="116"/>
      <c r="E90" s="115"/>
      <c r="F90" s="108"/>
      <c r="G90" s="108"/>
      <c r="H90" s="107"/>
      <c r="I90" s="108"/>
    </row>
    <row r="91" spans="1:9" ht="15.75">
      <c r="A91" s="107"/>
      <c r="B91" s="107"/>
      <c r="C91" s="107"/>
      <c r="D91" s="107"/>
      <c r="E91" s="107"/>
      <c r="F91" s="108"/>
      <c r="G91" s="108"/>
      <c r="H91" s="107"/>
      <c r="I91" s="108"/>
    </row>
    <row r="92" spans="1:9" ht="15.75">
      <c r="A92" s="107"/>
      <c r="B92" s="107"/>
      <c r="C92" s="107"/>
      <c r="D92" s="107"/>
      <c r="E92" s="107"/>
      <c r="F92" s="108"/>
      <c r="G92" s="108"/>
      <c r="H92" s="107"/>
      <c r="I92" s="108"/>
    </row>
    <row r="93" spans="1:9" ht="15.75">
      <c r="A93" s="113" t="s">
        <v>719</v>
      </c>
      <c r="B93" s="121">
        <v>1.15320385914</v>
      </c>
      <c r="C93" s="123" t="s">
        <v>725</v>
      </c>
      <c r="D93" s="107"/>
      <c r="E93" s="107"/>
      <c r="F93" s="108"/>
      <c r="G93" s="108"/>
      <c r="H93" s="107"/>
      <c r="I93" s="108"/>
    </row>
    <row r="94" spans="1:9" ht="15.75">
      <c r="A94" s="113"/>
      <c r="B94" s="122">
        <v>0.896</v>
      </c>
      <c r="C94" s="123"/>
      <c r="D94" s="107"/>
      <c r="E94" s="107"/>
      <c r="F94" s="108"/>
      <c r="G94" s="108"/>
      <c r="H94" s="107"/>
      <c r="I94" s="108"/>
    </row>
    <row r="95" spans="1:9" ht="15.75">
      <c r="A95" s="107"/>
      <c r="B95" s="107"/>
      <c r="C95" s="107"/>
      <c r="D95" s="107"/>
      <c r="E95" s="107"/>
      <c r="F95" s="108"/>
      <c r="G95" s="108"/>
      <c r="H95" s="107"/>
      <c r="I95" s="108"/>
    </row>
    <row r="96" spans="1:9" ht="15.75">
      <c r="A96" s="107"/>
      <c r="B96" s="107"/>
      <c r="C96" s="107"/>
      <c r="D96" s="107"/>
      <c r="E96" s="107"/>
      <c r="F96" s="108"/>
      <c r="G96" s="108"/>
      <c r="H96" s="107"/>
      <c r="I96" s="108"/>
    </row>
    <row r="97" spans="1:9" ht="15.75">
      <c r="A97" s="113" t="s">
        <v>719</v>
      </c>
      <c r="B97" s="124">
        <v>1.28705787850446</v>
      </c>
      <c r="C97" s="123" t="s">
        <v>725</v>
      </c>
      <c r="D97" s="107"/>
      <c r="E97" s="125" t="s">
        <v>719</v>
      </c>
      <c r="F97" s="126">
        <v>0.2871</v>
      </c>
      <c r="G97" s="108"/>
      <c r="H97" s="107"/>
      <c r="I97" s="108"/>
    </row>
    <row r="98" spans="1:9" ht="15.75">
      <c r="A98" s="113"/>
      <c r="B98" s="124"/>
      <c r="C98" s="123"/>
      <c r="D98" s="107"/>
      <c r="E98" s="125"/>
      <c r="F98" s="126"/>
      <c r="G98" s="108"/>
      <c r="H98" s="107"/>
      <c r="I98" s="108"/>
    </row>
    <row r="99" spans="1:9" ht="15.75">
      <c r="A99" s="107"/>
      <c r="B99" s="107"/>
      <c r="C99" s="107"/>
      <c r="D99" s="107"/>
      <c r="E99" s="107"/>
      <c r="F99" s="108"/>
      <c r="G99" s="108"/>
      <c r="H99" s="107"/>
      <c r="I99" s="108"/>
    </row>
    <row r="100" spans="1:9" ht="15.7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.75">
      <c r="A101" s="92" t="s">
        <v>728</v>
      </c>
      <c r="B101" s="88"/>
      <c r="C101" s="88"/>
      <c r="D101" s="88"/>
      <c r="E101" s="88"/>
      <c r="F101" s="88"/>
      <c r="G101" s="88"/>
      <c r="H101" s="88"/>
      <c r="I101" s="129"/>
    </row>
    <row r="102" spans="1:9" ht="15.75">
      <c r="A102" s="127"/>
      <c r="B102" s="128"/>
      <c r="C102" s="128"/>
      <c r="D102" s="128"/>
      <c r="E102" s="128"/>
      <c r="F102" s="128"/>
      <c r="G102" s="128"/>
      <c r="H102" s="128"/>
      <c r="I102" s="135"/>
    </row>
    <row r="103" spans="1:9" ht="15.75">
      <c r="A103" s="93" t="s">
        <v>688</v>
      </c>
      <c r="B103" s="93"/>
      <c r="C103" s="93"/>
      <c r="D103" s="93"/>
      <c r="E103" s="93"/>
      <c r="F103" s="93"/>
      <c r="G103" s="93"/>
      <c r="H103" s="93"/>
      <c r="I103" s="93"/>
    </row>
    <row r="104" spans="1:9" ht="15.75">
      <c r="A104" s="107"/>
      <c r="B104" s="107"/>
      <c r="C104" s="107"/>
      <c r="D104" s="107"/>
      <c r="E104" s="107"/>
      <c r="F104" s="108"/>
      <c r="G104" s="108"/>
      <c r="H104" s="107"/>
      <c r="I104" s="108"/>
    </row>
    <row r="105" spans="1:9" ht="15.75">
      <c r="A105" s="94" t="s">
        <v>689</v>
      </c>
      <c r="B105" s="94"/>
      <c r="C105" s="94"/>
      <c r="D105" s="94"/>
      <c r="E105" s="94"/>
      <c r="F105" s="94" t="s">
        <v>690</v>
      </c>
      <c r="G105" s="94"/>
      <c r="H105" s="94"/>
      <c r="I105" s="94" t="s">
        <v>691</v>
      </c>
    </row>
    <row r="106" spans="1:9" ht="15.75">
      <c r="A106" s="94"/>
      <c r="B106" s="94"/>
      <c r="C106" s="94"/>
      <c r="D106" s="94"/>
      <c r="E106" s="94"/>
      <c r="F106" s="95" t="s">
        <v>692</v>
      </c>
      <c r="G106" s="95" t="s">
        <v>693</v>
      </c>
      <c r="H106" s="95" t="s">
        <v>694</v>
      </c>
      <c r="I106" s="94"/>
    </row>
    <row r="107" spans="1:9" ht="15.75">
      <c r="A107" s="94" t="s">
        <v>695</v>
      </c>
      <c r="B107" s="96" t="s">
        <v>696</v>
      </c>
      <c r="C107" s="96"/>
      <c r="D107" s="96"/>
      <c r="E107" s="96"/>
      <c r="F107" s="131">
        <v>0.03</v>
      </c>
      <c r="G107" s="144">
        <v>0.04</v>
      </c>
      <c r="H107" s="131">
        <v>0.055</v>
      </c>
      <c r="I107" s="131">
        <v>0.04</v>
      </c>
    </row>
    <row r="108" spans="1:9" ht="15.75">
      <c r="A108" s="94"/>
      <c r="B108" s="99" t="s">
        <v>727</v>
      </c>
      <c r="C108" s="99"/>
      <c r="D108" s="99"/>
      <c r="E108" s="99"/>
      <c r="F108" s="131">
        <v>0.008</v>
      </c>
      <c r="G108" s="144">
        <v>0.008</v>
      </c>
      <c r="H108" s="131">
        <v>0.01</v>
      </c>
      <c r="I108" s="131">
        <v>0.008</v>
      </c>
    </row>
    <row r="109" spans="1:9" ht="15.75">
      <c r="A109" s="94"/>
      <c r="B109" s="99" t="s">
        <v>697</v>
      </c>
      <c r="C109" s="99"/>
      <c r="D109" s="99"/>
      <c r="E109" s="99"/>
      <c r="F109" s="131">
        <v>0.0097</v>
      </c>
      <c r="G109" s="144">
        <v>0.0127</v>
      </c>
      <c r="H109" s="131">
        <v>0.0127</v>
      </c>
      <c r="I109" s="131">
        <v>0.0127</v>
      </c>
    </row>
    <row r="110" spans="1:9" ht="15.75">
      <c r="A110" s="94"/>
      <c r="B110" s="100" t="s">
        <v>698</v>
      </c>
      <c r="C110" s="100"/>
      <c r="D110" s="100"/>
      <c r="E110" s="100"/>
      <c r="F110" s="100"/>
      <c r="G110" s="100"/>
      <c r="H110" s="100"/>
      <c r="I110" s="103">
        <v>0.0607</v>
      </c>
    </row>
    <row r="111" spans="1:9" ht="15.75">
      <c r="A111" s="94" t="s">
        <v>699</v>
      </c>
      <c r="B111" s="96" t="s">
        <v>700</v>
      </c>
      <c r="C111" s="96"/>
      <c r="D111" s="96"/>
      <c r="E111" s="96"/>
      <c r="F111" s="131">
        <v>0.0059</v>
      </c>
      <c r="G111" s="144">
        <v>0.0123</v>
      </c>
      <c r="H111" s="131">
        <v>0.0139</v>
      </c>
      <c r="I111" s="102">
        <v>0.0123</v>
      </c>
    </row>
    <row r="112" spans="1:9" ht="15.75">
      <c r="A112" s="94"/>
      <c r="B112" s="100" t="s">
        <v>698</v>
      </c>
      <c r="C112" s="100"/>
      <c r="D112" s="100"/>
      <c r="E112" s="100"/>
      <c r="F112" s="100"/>
      <c r="G112" s="100"/>
      <c r="H112" s="100"/>
      <c r="I112" s="103">
        <v>0.0123</v>
      </c>
    </row>
    <row r="113" spans="1:9" ht="15.75">
      <c r="A113" s="94" t="s">
        <v>701</v>
      </c>
      <c r="B113" s="96" t="s">
        <v>702</v>
      </c>
      <c r="C113" s="96"/>
      <c r="D113" s="96"/>
      <c r="E113" s="96"/>
      <c r="F113" s="131">
        <v>0.0616</v>
      </c>
      <c r="G113" s="144">
        <v>0.074</v>
      </c>
      <c r="H113" s="131">
        <v>0.0896</v>
      </c>
      <c r="I113" s="102">
        <v>0.074</v>
      </c>
    </row>
    <row r="114" spans="1:9" ht="15.75">
      <c r="A114" s="94"/>
      <c r="B114" s="100" t="s">
        <v>698</v>
      </c>
      <c r="C114" s="100"/>
      <c r="D114" s="100"/>
      <c r="E114" s="100"/>
      <c r="F114" s="100"/>
      <c r="G114" s="100"/>
      <c r="H114" s="100"/>
      <c r="I114" s="103">
        <v>0.074</v>
      </c>
    </row>
    <row r="115" spans="1:9" ht="15.75">
      <c r="A115" s="94" t="s">
        <v>703</v>
      </c>
      <c r="B115" s="101" t="s">
        <v>704</v>
      </c>
      <c r="C115" s="101"/>
      <c r="D115" s="101"/>
      <c r="E115" s="101"/>
      <c r="F115" s="101"/>
      <c r="G115" s="101"/>
      <c r="H115" s="101"/>
      <c r="I115" s="132"/>
    </row>
    <row r="116" spans="1:9" ht="15.75">
      <c r="A116" s="94"/>
      <c r="B116" s="99" t="s">
        <v>705</v>
      </c>
      <c r="C116" s="99"/>
      <c r="D116" s="99"/>
      <c r="E116" s="99"/>
      <c r="F116" s="102">
        <v>0.03</v>
      </c>
      <c r="G116" s="103">
        <v>0.03</v>
      </c>
      <c r="H116" s="102">
        <v>0.03</v>
      </c>
      <c r="I116" s="102">
        <v>0.03</v>
      </c>
    </row>
    <row r="117" spans="1:9" ht="15.75">
      <c r="A117" s="94"/>
      <c r="B117" s="99" t="s">
        <v>706</v>
      </c>
      <c r="C117" s="99"/>
      <c r="D117" s="99"/>
      <c r="E117" s="99"/>
      <c r="F117" s="102">
        <v>0.0065</v>
      </c>
      <c r="G117" s="103">
        <v>0.0065</v>
      </c>
      <c r="H117" s="102">
        <v>0.0065</v>
      </c>
      <c r="I117" s="102">
        <v>0.0065</v>
      </c>
    </row>
    <row r="118" spans="1:9" ht="15.75">
      <c r="A118" s="94"/>
      <c r="B118" s="99" t="s">
        <v>707</v>
      </c>
      <c r="C118" s="99"/>
      <c r="D118" s="99"/>
      <c r="E118" s="99"/>
      <c r="F118" s="102">
        <v>0.02</v>
      </c>
      <c r="G118" s="103">
        <v>0.035</v>
      </c>
      <c r="H118" s="102">
        <v>0.05</v>
      </c>
      <c r="I118" s="102">
        <v>0.025</v>
      </c>
    </row>
    <row r="119" spans="1:9" ht="15.75">
      <c r="A119" s="94"/>
      <c r="B119" s="99" t="s">
        <v>708</v>
      </c>
      <c r="C119" s="99"/>
      <c r="D119" s="99"/>
      <c r="E119" s="99"/>
      <c r="F119" s="102">
        <v>0.045</v>
      </c>
      <c r="G119" s="103">
        <v>0.045</v>
      </c>
      <c r="H119" s="102">
        <v>0.045</v>
      </c>
      <c r="I119" s="102">
        <v>0.045</v>
      </c>
    </row>
    <row r="120" spans="1:9" ht="15.75">
      <c r="A120" s="94"/>
      <c r="B120" s="100" t="s">
        <v>698</v>
      </c>
      <c r="C120" s="100"/>
      <c r="D120" s="100"/>
      <c r="E120" s="100"/>
      <c r="F120" s="100"/>
      <c r="G120" s="100"/>
      <c r="H120" s="100"/>
      <c r="I120" s="133">
        <v>0.1065</v>
      </c>
    </row>
    <row r="121" spans="1:9" ht="15.75">
      <c r="A121" s="106" t="s">
        <v>709</v>
      </c>
      <c r="B121" s="106"/>
      <c r="C121" s="106"/>
      <c r="D121" s="106"/>
      <c r="E121" s="106"/>
      <c r="F121" s="106"/>
      <c r="G121" s="106"/>
      <c r="H121" s="106"/>
      <c r="I121" s="134">
        <v>0.2907</v>
      </c>
    </row>
    <row r="122" spans="1:9" ht="15.75">
      <c r="A122" s="107"/>
      <c r="B122" s="107"/>
      <c r="C122" s="107"/>
      <c r="D122" s="107"/>
      <c r="E122" s="107"/>
      <c r="F122" s="108"/>
      <c r="G122" s="108"/>
      <c r="H122" s="107"/>
      <c r="I122" s="108"/>
    </row>
    <row r="123" spans="1:9" ht="15.75">
      <c r="A123" s="95" t="s">
        <v>710</v>
      </c>
      <c r="B123" s="95"/>
      <c r="C123" s="95"/>
      <c r="D123" s="95"/>
      <c r="E123" s="95"/>
      <c r="F123" s="95" t="s">
        <v>711</v>
      </c>
      <c r="G123" s="95"/>
      <c r="H123" s="95"/>
      <c r="I123" s="95"/>
    </row>
    <row r="124" spans="1:9" ht="15.75">
      <c r="A124" s="109" t="s">
        <v>712</v>
      </c>
      <c r="B124" s="110" t="s">
        <v>713</v>
      </c>
      <c r="C124" s="110"/>
      <c r="D124" s="110"/>
      <c r="E124" s="110"/>
      <c r="F124" s="111"/>
      <c r="G124" s="111"/>
      <c r="H124" s="111"/>
      <c r="I124" s="111"/>
    </row>
    <row r="125" spans="1:9" ht="15.75">
      <c r="A125" s="112" t="s">
        <v>714</v>
      </c>
      <c r="B125" s="110" t="s">
        <v>715</v>
      </c>
      <c r="C125" s="110"/>
      <c r="D125" s="110"/>
      <c r="E125" s="110"/>
      <c r="F125" s="111"/>
      <c r="G125" s="111"/>
      <c r="H125" s="111"/>
      <c r="I125" s="111"/>
    </row>
    <row r="126" spans="1:9" ht="15.75">
      <c r="A126" s="112" t="s">
        <v>716</v>
      </c>
      <c r="B126" s="110" t="s">
        <v>702</v>
      </c>
      <c r="C126" s="110"/>
      <c r="D126" s="110"/>
      <c r="E126" s="110"/>
      <c r="F126" s="111"/>
      <c r="G126" s="111"/>
      <c r="H126" s="111"/>
      <c r="I126" s="111"/>
    </row>
    <row r="127" spans="1:9" ht="15.75">
      <c r="A127" s="112" t="s">
        <v>717</v>
      </c>
      <c r="B127" s="110" t="s">
        <v>718</v>
      </c>
      <c r="C127" s="110"/>
      <c r="D127" s="110"/>
      <c r="E127" s="110"/>
      <c r="F127" s="111"/>
      <c r="G127" s="111"/>
      <c r="H127" s="111"/>
      <c r="I127" s="111"/>
    </row>
    <row r="128" spans="1:9" ht="15.75">
      <c r="A128" s="107"/>
      <c r="B128" s="107"/>
      <c r="C128" s="107"/>
      <c r="D128" s="107"/>
      <c r="E128" s="107"/>
      <c r="F128" s="111"/>
      <c r="G128" s="111"/>
      <c r="H128" s="111"/>
      <c r="I128" s="111"/>
    </row>
    <row r="129" spans="1:9" ht="15.75">
      <c r="A129" s="113" t="s">
        <v>719</v>
      </c>
      <c r="B129" s="114" t="s">
        <v>720</v>
      </c>
      <c r="C129" s="114" t="s">
        <v>721</v>
      </c>
      <c r="D129" s="114" t="s">
        <v>722</v>
      </c>
      <c r="E129" s="115" t="s">
        <v>723</v>
      </c>
      <c r="F129" s="108"/>
      <c r="G129" s="108"/>
      <c r="H129" s="107"/>
      <c r="I129" s="108"/>
    </row>
    <row r="130" spans="1:9" ht="15.75">
      <c r="A130" s="113"/>
      <c r="B130" s="116"/>
      <c r="C130" s="116" t="s">
        <v>724</v>
      </c>
      <c r="D130" s="116"/>
      <c r="E130" s="115"/>
      <c r="F130" s="108"/>
      <c r="G130" s="108"/>
      <c r="H130" s="107"/>
      <c r="I130" s="108"/>
    </row>
    <row r="131" spans="1:9" ht="15.75">
      <c r="A131" s="107"/>
      <c r="B131" s="107"/>
      <c r="C131" s="107"/>
      <c r="D131" s="107"/>
      <c r="E131" s="107"/>
      <c r="F131" s="108"/>
      <c r="G131" s="108"/>
      <c r="H131" s="107"/>
      <c r="I131" s="108"/>
    </row>
    <row r="132" spans="1:9" ht="15.75">
      <c r="A132" s="107"/>
      <c r="B132" s="107"/>
      <c r="C132" s="107"/>
      <c r="D132" s="107"/>
      <c r="E132" s="107"/>
      <c r="F132" s="108"/>
      <c r="G132" s="108"/>
      <c r="H132" s="107"/>
      <c r="I132" s="108"/>
    </row>
    <row r="133" spans="1:9" ht="15.75">
      <c r="A133" s="113" t="s">
        <v>719</v>
      </c>
      <c r="B133" s="117">
        <v>0.0607</v>
      </c>
      <c r="C133" s="117">
        <v>0.0123</v>
      </c>
      <c r="D133" s="118">
        <v>0.074</v>
      </c>
      <c r="E133" s="115" t="s">
        <v>723</v>
      </c>
      <c r="F133" s="108"/>
      <c r="G133" s="108"/>
      <c r="H133" s="107"/>
      <c r="I133" s="108"/>
    </row>
    <row r="134" spans="1:9" ht="15.75">
      <c r="A134" s="113"/>
      <c r="B134" s="116"/>
      <c r="C134" s="119">
        <v>0.1065</v>
      </c>
      <c r="D134" s="116"/>
      <c r="E134" s="115"/>
      <c r="F134" s="108"/>
      <c r="G134" s="108"/>
      <c r="H134" s="107"/>
      <c r="I134" s="108"/>
    </row>
    <row r="135" spans="1:9" ht="15.75">
      <c r="A135" s="107"/>
      <c r="B135" s="107"/>
      <c r="C135" s="107"/>
      <c r="D135" s="107"/>
      <c r="E135" s="107"/>
      <c r="F135" s="108"/>
      <c r="G135" s="108"/>
      <c r="H135" s="107"/>
      <c r="I135" s="108"/>
    </row>
    <row r="136" spans="1:9" ht="15.75">
      <c r="A136" s="107"/>
      <c r="B136" s="107"/>
      <c r="C136" s="107"/>
      <c r="D136" s="107"/>
      <c r="E136" s="107"/>
      <c r="F136" s="108"/>
      <c r="G136" s="108"/>
      <c r="H136" s="107"/>
      <c r="I136" s="108"/>
    </row>
    <row r="137" spans="1:9" ht="15.75">
      <c r="A137" s="113" t="s">
        <v>719</v>
      </c>
      <c r="B137" s="120">
        <v>1.0607</v>
      </c>
      <c r="C137" s="120">
        <v>1.0123</v>
      </c>
      <c r="D137" s="121">
        <v>1.074</v>
      </c>
      <c r="E137" s="115" t="s">
        <v>723</v>
      </c>
      <c r="F137" s="108"/>
      <c r="G137" s="108"/>
      <c r="H137" s="107"/>
      <c r="I137" s="108"/>
    </row>
    <row r="138" spans="1:9" ht="15.75">
      <c r="A138" s="113"/>
      <c r="B138" s="116"/>
      <c r="C138" s="122">
        <v>0.8935</v>
      </c>
      <c r="D138" s="116"/>
      <c r="E138" s="115"/>
      <c r="F138" s="108"/>
      <c r="G138" s="108"/>
      <c r="H138" s="107"/>
      <c r="I138" s="108"/>
    </row>
    <row r="139" spans="1:9" ht="15.75">
      <c r="A139" s="107"/>
      <c r="B139" s="107"/>
      <c r="C139" s="107"/>
      <c r="D139" s="107"/>
      <c r="E139" s="107"/>
      <c r="F139" s="108"/>
      <c r="G139" s="108"/>
      <c r="H139" s="107"/>
      <c r="I139" s="108"/>
    </row>
    <row r="140" spans="1:9" ht="15.75">
      <c r="A140" s="107"/>
      <c r="B140" s="107"/>
      <c r="C140" s="107"/>
      <c r="D140" s="107"/>
      <c r="E140" s="107"/>
      <c r="F140" s="108"/>
      <c r="G140" s="108"/>
      <c r="H140" s="107"/>
      <c r="I140" s="108"/>
    </row>
    <row r="141" spans="1:9" ht="15.75">
      <c r="A141" s="113" t="s">
        <v>719</v>
      </c>
      <c r="B141" s="121">
        <v>1.15320385914</v>
      </c>
      <c r="C141" s="123" t="s">
        <v>725</v>
      </c>
      <c r="D141" s="107"/>
      <c r="E141" s="107"/>
      <c r="F141" s="108"/>
      <c r="G141" s="108"/>
      <c r="H141" s="107"/>
      <c r="I141" s="108"/>
    </row>
    <row r="142" spans="1:9" ht="15.75">
      <c r="A142" s="113"/>
      <c r="B142" s="122">
        <v>0.8935</v>
      </c>
      <c r="C142" s="123"/>
      <c r="D142" s="107"/>
      <c r="E142" s="107"/>
      <c r="F142" s="108"/>
      <c r="G142" s="108"/>
      <c r="H142" s="107"/>
      <c r="I142" s="108"/>
    </row>
    <row r="143" spans="1:9" ht="15.75">
      <c r="A143" s="107"/>
      <c r="B143" s="107"/>
      <c r="C143" s="107"/>
      <c r="D143" s="107"/>
      <c r="E143" s="107"/>
      <c r="F143" s="108"/>
      <c r="G143" s="108"/>
      <c r="H143" s="107"/>
      <c r="I143" s="108"/>
    </row>
    <row r="144" spans="1:9" ht="15.75">
      <c r="A144" s="107"/>
      <c r="B144" s="107"/>
      <c r="C144" s="107"/>
      <c r="D144" s="107"/>
      <c r="E144" s="107"/>
      <c r="F144" s="108"/>
      <c r="G144" s="108"/>
      <c r="H144" s="107"/>
      <c r="I144" s="108"/>
    </row>
    <row r="145" spans="1:9" ht="15.75">
      <c r="A145" s="113" t="s">
        <v>719</v>
      </c>
      <c r="B145" s="124">
        <v>1.29065904772244</v>
      </c>
      <c r="C145" s="123" t="s">
        <v>725</v>
      </c>
      <c r="D145" s="107"/>
      <c r="E145" s="125" t="s">
        <v>719</v>
      </c>
      <c r="F145" s="126">
        <v>0.2907</v>
      </c>
      <c r="G145" s="108"/>
      <c r="H145" s="107"/>
      <c r="I145" s="108"/>
    </row>
    <row r="146" spans="1:9" ht="15.75">
      <c r="A146" s="113"/>
      <c r="B146" s="124"/>
      <c r="C146" s="123"/>
      <c r="D146" s="107"/>
      <c r="E146" s="125"/>
      <c r="F146" s="126"/>
      <c r="G146" s="108"/>
      <c r="H146" s="107"/>
      <c r="I146" s="108"/>
    </row>
    <row r="147" spans="1:9" ht="15.75">
      <c r="A147" s="107"/>
      <c r="B147" s="107"/>
      <c r="C147" s="107"/>
      <c r="D147" s="107"/>
      <c r="E147" s="107"/>
      <c r="F147" s="108"/>
      <c r="G147" s="108"/>
      <c r="H147" s="107"/>
      <c r="I147" s="108"/>
    </row>
    <row r="149" spans="1:9" ht="15.75">
      <c r="A149" s="92" t="s">
        <v>729</v>
      </c>
      <c r="B149" s="88"/>
      <c r="C149" s="88"/>
      <c r="D149" s="88"/>
      <c r="E149" s="88"/>
      <c r="F149" s="88"/>
      <c r="G149" s="88"/>
      <c r="H149" s="88"/>
      <c r="I149" s="129"/>
    </row>
    <row r="150" spans="1:9" ht="15.75">
      <c r="A150" s="127"/>
      <c r="B150" s="128"/>
      <c r="C150" s="128"/>
      <c r="D150" s="128"/>
      <c r="E150" s="128"/>
      <c r="F150" s="128"/>
      <c r="G150" s="128"/>
      <c r="H150" s="128"/>
      <c r="I150" s="135"/>
    </row>
    <row r="151" spans="1:9" ht="15.75">
      <c r="A151" s="93" t="s">
        <v>688</v>
      </c>
      <c r="B151" s="93"/>
      <c r="C151" s="93"/>
      <c r="D151" s="93"/>
      <c r="E151" s="93"/>
      <c r="F151" s="93"/>
      <c r="G151" s="93"/>
      <c r="H151" s="93"/>
      <c r="I151" s="93"/>
    </row>
    <row r="152" spans="1:9" ht="15.75">
      <c r="A152" s="107"/>
      <c r="B152" s="107"/>
      <c r="C152" s="107"/>
      <c r="D152" s="107"/>
      <c r="E152" s="107"/>
      <c r="F152" s="108"/>
      <c r="G152" s="108"/>
      <c r="H152" s="107"/>
      <c r="I152" s="108"/>
    </row>
    <row r="153" spans="1:9" ht="15.75">
      <c r="A153" s="94" t="s">
        <v>689</v>
      </c>
      <c r="B153" s="94"/>
      <c r="C153" s="94"/>
      <c r="D153" s="94"/>
      <c r="E153" s="94"/>
      <c r="F153" s="94" t="s">
        <v>690</v>
      </c>
      <c r="G153" s="94"/>
      <c r="H153" s="94"/>
      <c r="I153" s="94" t="s">
        <v>691</v>
      </c>
    </row>
    <row r="154" spans="1:9" ht="15.75">
      <c r="A154" s="94"/>
      <c r="B154" s="94"/>
      <c r="C154" s="94"/>
      <c r="D154" s="94"/>
      <c r="E154" s="94"/>
      <c r="F154" s="95" t="s">
        <v>692</v>
      </c>
      <c r="G154" s="95" t="s">
        <v>693</v>
      </c>
      <c r="H154" s="95" t="s">
        <v>694</v>
      </c>
      <c r="I154" s="94"/>
    </row>
    <row r="155" spans="1:9" ht="15.75">
      <c r="A155" s="94" t="s">
        <v>695</v>
      </c>
      <c r="B155" s="96" t="s">
        <v>696</v>
      </c>
      <c r="C155" s="96"/>
      <c r="D155" s="96"/>
      <c r="E155" s="96"/>
      <c r="F155" s="131">
        <v>0.03</v>
      </c>
      <c r="G155" s="144">
        <v>0.04</v>
      </c>
      <c r="H155" s="131">
        <v>0.055</v>
      </c>
      <c r="I155" s="131">
        <v>0.04</v>
      </c>
    </row>
    <row r="156" spans="1:9" ht="15.75">
      <c r="A156" s="94"/>
      <c r="B156" s="99" t="s">
        <v>727</v>
      </c>
      <c r="C156" s="99"/>
      <c r="D156" s="99"/>
      <c r="E156" s="99"/>
      <c r="F156" s="131">
        <v>0.008</v>
      </c>
      <c r="G156" s="144">
        <v>0.008</v>
      </c>
      <c r="H156" s="131">
        <v>0.01</v>
      </c>
      <c r="I156" s="131">
        <v>0.008</v>
      </c>
    </row>
    <row r="157" spans="1:9" ht="15.75">
      <c r="A157" s="94"/>
      <c r="B157" s="99" t="s">
        <v>697</v>
      </c>
      <c r="C157" s="99"/>
      <c r="D157" s="99"/>
      <c r="E157" s="99"/>
      <c r="F157" s="131">
        <v>0.0097</v>
      </c>
      <c r="G157" s="144">
        <v>0.0127</v>
      </c>
      <c r="H157" s="131">
        <v>0.0127</v>
      </c>
      <c r="I157" s="131">
        <v>0.0127</v>
      </c>
    </row>
    <row r="158" spans="1:9" ht="15.75">
      <c r="A158" s="94"/>
      <c r="B158" s="100" t="s">
        <v>698</v>
      </c>
      <c r="C158" s="100"/>
      <c r="D158" s="100"/>
      <c r="E158" s="100"/>
      <c r="F158" s="100"/>
      <c r="G158" s="100"/>
      <c r="H158" s="100"/>
      <c r="I158" s="103">
        <v>0.0607</v>
      </c>
    </row>
    <row r="159" spans="1:9" ht="15.75">
      <c r="A159" s="94" t="s">
        <v>699</v>
      </c>
      <c r="B159" s="96" t="s">
        <v>700</v>
      </c>
      <c r="C159" s="96"/>
      <c r="D159" s="96"/>
      <c r="E159" s="96"/>
      <c r="F159" s="131">
        <v>0.0059</v>
      </c>
      <c r="G159" s="144">
        <v>0.0123</v>
      </c>
      <c r="H159" s="131">
        <v>0.0139</v>
      </c>
      <c r="I159" s="102">
        <v>0.0123</v>
      </c>
    </row>
    <row r="160" spans="1:9" ht="15.75">
      <c r="A160" s="94"/>
      <c r="B160" s="100" t="s">
        <v>698</v>
      </c>
      <c r="C160" s="100"/>
      <c r="D160" s="100"/>
      <c r="E160" s="100"/>
      <c r="F160" s="100"/>
      <c r="G160" s="100"/>
      <c r="H160" s="100"/>
      <c r="I160" s="103">
        <v>0.0123</v>
      </c>
    </row>
    <row r="161" spans="1:9" ht="15.75">
      <c r="A161" s="94" t="s">
        <v>701</v>
      </c>
      <c r="B161" s="96" t="s">
        <v>702</v>
      </c>
      <c r="C161" s="96"/>
      <c r="D161" s="96"/>
      <c r="E161" s="96"/>
      <c r="F161" s="131">
        <v>0.0616</v>
      </c>
      <c r="G161" s="144">
        <v>0.074</v>
      </c>
      <c r="H161" s="131">
        <v>0.0896</v>
      </c>
      <c r="I161" s="102">
        <v>0.074</v>
      </c>
    </row>
    <row r="162" spans="1:9" ht="15.75">
      <c r="A162" s="94"/>
      <c r="B162" s="100" t="s">
        <v>698</v>
      </c>
      <c r="C162" s="100"/>
      <c r="D162" s="100"/>
      <c r="E162" s="100"/>
      <c r="F162" s="100"/>
      <c r="G162" s="100"/>
      <c r="H162" s="100"/>
      <c r="I162" s="103">
        <v>0.074</v>
      </c>
    </row>
    <row r="163" spans="1:9" ht="15.75">
      <c r="A163" s="94" t="s">
        <v>703</v>
      </c>
      <c r="B163" s="101" t="s">
        <v>704</v>
      </c>
      <c r="C163" s="101"/>
      <c r="D163" s="101"/>
      <c r="E163" s="101"/>
      <c r="F163" s="101"/>
      <c r="G163" s="101"/>
      <c r="H163" s="101"/>
      <c r="I163" s="132"/>
    </row>
    <row r="164" spans="1:9" ht="15.75">
      <c r="A164" s="94"/>
      <c r="B164" s="99" t="s">
        <v>705</v>
      </c>
      <c r="C164" s="99"/>
      <c r="D164" s="99"/>
      <c r="E164" s="99"/>
      <c r="F164" s="102">
        <v>0.03</v>
      </c>
      <c r="G164" s="103">
        <v>0.03</v>
      </c>
      <c r="H164" s="102">
        <v>0.03</v>
      </c>
      <c r="I164" s="102">
        <v>0.03</v>
      </c>
    </row>
    <row r="165" spans="1:9" ht="15.75">
      <c r="A165" s="94"/>
      <c r="B165" s="99" t="s">
        <v>706</v>
      </c>
      <c r="C165" s="99"/>
      <c r="D165" s="99"/>
      <c r="E165" s="99"/>
      <c r="F165" s="102">
        <v>0.0065</v>
      </c>
      <c r="G165" s="103">
        <v>0.0065</v>
      </c>
      <c r="H165" s="102">
        <v>0.0065</v>
      </c>
      <c r="I165" s="102">
        <v>0.0065</v>
      </c>
    </row>
    <row r="166" spans="1:9" ht="15.75">
      <c r="A166" s="94"/>
      <c r="B166" s="148" t="s">
        <v>707</v>
      </c>
      <c r="C166" s="148"/>
      <c r="D166" s="148"/>
      <c r="E166" s="148"/>
      <c r="F166" s="149">
        <v>0.02</v>
      </c>
      <c r="G166" s="150">
        <v>0.035</v>
      </c>
      <c r="H166" s="149">
        <v>0.05</v>
      </c>
      <c r="I166" s="149">
        <v>0.025</v>
      </c>
    </row>
    <row r="167" spans="1:9" ht="15.75">
      <c r="A167" s="94"/>
      <c r="B167" s="99" t="s">
        <v>708</v>
      </c>
      <c r="C167" s="99"/>
      <c r="D167" s="99"/>
      <c r="E167" s="99"/>
      <c r="F167" s="102">
        <v>0.045</v>
      </c>
      <c r="G167" s="103">
        <v>0.045</v>
      </c>
      <c r="H167" s="102">
        <v>0.045</v>
      </c>
      <c r="I167" s="102">
        <v>0.045</v>
      </c>
    </row>
    <row r="168" spans="1:9" ht="15.75">
      <c r="A168" s="94"/>
      <c r="B168" s="100" t="s">
        <v>698</v>
      </c>
      <c r="C168" s="100"/>
      <c r="D168" s="100"/>
      <c r="E168" s="100"/>
      <c r="F168" s="100"/>
      <c r="G168" s="100"/>
      <c r="H168" s="100"/>
      <c r="I168" s="133">
        <v>0.1065</v>
      </c>
    </row>
    <row r="169" spans="1:9" ht="15.75">
      <c r="A169" s="106" t="s">
        <v>709</v>
      </c>
      <c r="B169" s="106"/>
      <c r="C169" s="106"/>
      <c r="D169" s="106"/>
      <c r="E169" s="106"/>
      <c r="F169" s="106"/>
      <c r="G169" s="106"/>
      <c r="H169" s="106"/>
      <c r="I169" s="134">
        <v>0.2907</v>
      </c>
    </row>
    <row r="170" spans="1:9" ht="15.75">
      <c r="A170" s="107"/>
      <c r="B170" s="107"/>
      <c r="C170" s="107"/>
      <c r="D170" s="107"/>
      <c r="E170" s="107"/>
      <c r="F170" s="108"/>
      <c r="G170" s="108"/>
      <c r="H170" s="107"/>
      <c r="I170" s="108"/>
    </row>
    <row r="171" spans="1:9" ht="15.75">
      <c r="A171" s="95" t="s">
        <v>710</v>
      </c>
      <c r="B171" s="95"/>
      <c r="C171" s="95"/>
      <c r="D171" s="95"/>
      <c r="E171" s="95"/>
      <c r="F171" s="95" t="s">
        <v>711</v>
      </c>
      <c r="G171" s="95"/>
      <c r="H171" s="95"/>
      <c r="I171" s="95"/>
    </row>
    <row r="172" spans="1:9" ht="15.75">
      <c r="A172" s="109" t="s">
        <v>712</v>
      </c>
      <c r="B172" s="110" t="s">
        <v>713</v>
      </c>
      <c r="C172" s="110"/>
      <c r="D172" s="110"/>
      <c r="E172" s="110"/>
      <c r="F172" s="111"/>
      <c r="G172" s="111"/>
      <c r="H172" s="111"/>
      <c r="I172" s="111"/>
    </row>
    <row r="173" spans="1:9" ht="15.75">
      <c r="A173" s="112" t="s">
        <v>714</v>
      </c>
      <c r="B173" s="110" t="s">
        <v>715</v>
      </c>
      <c r="C173" s="110"/>
      <c r="D173" s="110"/>
      <c r="E173" s="110"/>
      <c r="F173" s="111"/>
      <c r="G173" s="111"/>
      <c r="H173" s="111"/>
      <c r="I173" s="111"/>
    </row>
    <row r="174" spans="1:9" ht="15.75">
      <c r="A174" s="112" t="s">
        <v>716</v>
      </c>
      <c r="B174" s="110" t="s">
        <v>702</v>
      </c>
      <c r="C174" s="110"/>
      <c r="D174" s="110"/>
      <c r="E174" s="110"/>
      <c r="F174" s="111"/>
      <c r="G174" s="111"/>
      <c r="H174" s="111"/>
      <c r="I174" s="111"/>
    </row>
    <row r="175" spans="1:9" ht="15.75">
      <c r="A175" s="112" t="s">
        <v>717</v>
      </c>
      <c r="B175" s="110" t="s">
        <v>718</v>
      </c>
      <c r="C175" s="110"/>
      <c r="D175" s="110"/>
      <c r="E175" s="110"/>
      <c r="F175" s="111"/>
      <c r="G175" s="111"/>
      <c r="H175" s="111"/>
      <c r="I175" s="111"/>
    </row>
    <row r="176" spans="1:9" ht="15.75">
      <c r="A176" s="107"/>
      <c r="B176" s="107"/>
      <c r="C176" s="107"/>
      <c r="D176" s="107"/>
      <c r="E176" s="107"/>
      <c r="F176" s="111"/>
      <c r="G176" s="111"/>
      <c r="H176" s="111"/>
      <c r="I176" s="111"/>
    </row>
    <row r="177" spans="1:9" ht="15.75">
      <c r="A177" s="113" t="s">
        <v>719</v>
      </c>
      <c r="B177" s="114" t="s">
        <v>720</v>
      </c>
      <c r="C177" s="114" t="s">
        <v>721</v>
      </c>
      <c r="D177" s="114" t="s">
        <v>722</v>
      </c>
      <c r="E177" s="115" t="s">
        <v>723</v>
      </c>
      <c r="F177" s="108"/>
      <c r="G177" s="108"/>
      <c r="H177" s="107"/>
      <c r="I177" s="108"/>
    </row>
    <row r="178" spans="1:9" ht="15.75">
      <c r="A178" s="113"/>
      <c r="B178" s="116"/>
      <c r="C178" s="116" t="s">
        <v>724</v>
      </c>
      <c r="D178" s="116"/>
      <c r="E178" s="115"/>
      <c r="F178" s="108"/>
      <c r="G178" s="108"/>
      <c r="H178" s="107"/>
      <c r="I178" s="108"/>
    </row>
    <row r="179" spans="1:9" ht="15.75">
      <c r="A179" s="107"/>
      <c r="B179" s="107"/>
      <c r="C179" s="107"/>
      <c r="D179" s="107"/>
      <c r="E179" s="107"/>
      <c r="F179" s="108"/>
      <c r="G179" s="108"/>
      <c r="H179" s="107"/>
      <c r="I179" s="108"/>
    </row>
    <row r="180" spans="1:9" ht="15.75">
      <c r="A180" s="107"/>
      <c r="B180" s="107"/>
      <c r="C180" s="107"/>
      <c r="D180" s="107"/>
      <c r="E180" s="107"/>
      <c r="F180" s="108"/>
      <c r="G180" s="108"/>
      <c r="H180" s="107"/>
      <c r="I180" s="108"/>
    </row>
    <row r="181" spans="1:9" ht="15.75">
      <c r="A181" s="113" t="s">
        <v>719</v>
      </c>
      <c r="B181" s="117">
        <v>0.0607</v>
      </c>
      <c r="C181" s="117">
        <v>0.0123</v>
      </c>
      <c r="D181" s="118">
        <v>0.074</v>
      </c>
      <c r="E181" s="115" t="s">
        <v>723</v>
      </c>
      <c r="F181" s="108"/>
      <c r="G181" s="108"/>
      <c r="H181" s="107"/>
      <c r="I181" s="108"/>
    </row>
    <row r="182" spans="1:9" ht="15.75">
      <c r="A182" s="113"/>
      <c r="B182" s="116"/>
      <c r="C182" s="119">
        <v>0.1065</v>
      </c>
      <c r="D182" s="116"/>
      <c r="E182" s="115"/>
      <c r="F182" s="108"/>
      <c r="G182" s="108"/>
      <c r="H182" s="107"/>
      <c r="I182" s="108"/>
    </row>
    <row r="183" spans="1:9" ht="15.75">
      <c r="A183" s="107"/>
      <c r="B183" s="107"/>
      <c r="C183" s="107"/>
      <c r="D183" s="107"/>
      <c r="E183" s="107"/>
      <c r="F183" s="108"/>
      <c r="G183" s="108"/>
      <c r="H183" s="107"/>
      <c r="I183" s="108"/>
    </row>
    <row r="184" spans="1:9" ht="15.75">
      <c r="A184" s="107"/>
      <c r="B184" s="107"/>
      <c r="C184" s="107"/>
      <c r="D184" s="107"/>
      <c r="E184" s="107"/>
      <c r="F184" s="108"/>
      <c r="G184" s="108"/>
      <c r="H184" s="107"/>
      <c r="I184" s="108"/>
    </row>
    <row r="185" spans="1:9" ht="15.75">
      <c r="A185" s="113" t="s">
        <v>719</v>
      </c>
      <c r="B185" s="120">
        <v>1.0607</v>
      </c>
      <c r="C185" s="120">
        <v>1.0123</v>
      </c>
      <c r="D185" s="121">
        <v>1.074</v>
      </c>
      <c r="E185" s="115" t="s">
        <v>723</v>
      </c>
      <c r="F185" s="108"/>
      <c r="G185" s="108"/>
      <c r="H185" s="107"/>
      <c r="I185" s="108"/>
    </row>
    <row r="186" spans="1:9" ht="15.75">
      <c r="A186" s="113"/>
      <c r="B186" s="116"/>
      <c r="C186" s="122">
        <v>0.8935</v>
      </c>
      <c r="D186" s="116"/>
      <c r="E186" s="115"/>
      <c r="F186" s="108"/>
      <c r="G186" s="108"/>
      <c r="H186" s="107"/>
      <c r="I186" s="108"/>
    </row>
    <row r="187" spans="1:9" ht="15.75">
      <c r="A187" s="107"/>
      <c r="B187" s="107"/>
      <c r="C187" s="107"/>
      <c r="D187" s="107"/>
      <c r="E187" s="107"/>
      <c r="F187" s="108"/>
      <c r="G187" s="108"/>
      <c r="H187" s="107"/>
      <c r="I187" s="108"/>
    </row>
    <row r="188" spans="1:9" ht="15.75">
      <c r="A188" s="107"/>
      <c r="B188" s="107"/>
      <c r="C188" s="107"/>
      <c r="D188" s="107"/>
      <c r="E188" s="107"/>
      <c r="F188" s="108"/>
      <c r="G188" s="108"/>
      <c r="H188" s="107"/>
      <c r="I188" s="108"/>
    </row>
    <row r="189" spans="1:9" ht="15.75">
      <c r="A189" s="113" t="s">
        <v>719</v>
      </c>
      <c r="B189" s="121">
        <v>1.15320385914</v>
      </c>
      <c r="C189" s="123" t="s">
        <v>725</v>
      </c>
      <c r="D189" s="107"/>
      <c r="E189" s="107"/>
      <c r="F189" s="108"/>
      <c r="G189" s="108"/>
      <c r="H189" s="107"/>
      <c r="I189" s="108"/>
    </row>
    <row r="190" spans="1:9" ht="15.75">
      <c r="A190" s="113"/>
      <c r="B190" s="122">
        <v>0.8935</v>
      </c>
      <c r="C190" s="123"/>
      <c r="D190" s="107"/>
      <c r="E190" s="107"/>
      <c r="F190" s="108"/>
      <c r="G190" s="108"/>
      <c r="H190" s="107"/>
      <c r="I190" s="108"/>
    </row>
    <row r="191" spans="1:9" ht="15.75">
      <c r="A191" s="107"/>
      <c r="B191" s="107"/>
      <c r="C191" s="107"/>
      <c r="D191" s="107"/>
      <c r="E191" s="107"/>
      <c r="F191" s="108"/>
      <c r="G191" s="108"/>
      <c r="H191" s="107"/>
      <c r="I191" s="108"/>
    </row>
    <row r="192" spans="1:9" ht="15.75">
      <c r="A192" s="107"/>
      <c r="B192" s="107"/>
      <c r="C192" s="107"/>
      <c r="D192" s="107"/>
      <c r="E192" s="107"/>
      <c r="F192" s="108"/>
      <c r="G192" s="108"/>
      <c r="H192" s="107"/>
      <c r="I192" s="108"/>
    </row>
    <row r="193" spans="1:9" ht="15.75">
      <c r="A193" s="113" t="s">
        <v>719</v>
      </c>
      <c r="B193" s="124">
        <v>1.29065904772244</v>
      </c>
      <c r="C193" s="123" t="s">
        <v>725</v>
      </c>
      <c r="D193" s="107"/>
      <c r="E193" s="125" t="s">
        <v>719</v>
      </c>
      <c r="F193" s="126">
        <v>0.2907</v>
      </c>
      <c r="G193" s="108"/>
      <c r="H193" s="107"/>
      <c r="I193" s="108"/>
    </row>
    <row r="194" spans="1:9" ht="15.75">
      <c r="A194" s="113"/>
      <c r="B194" s="124"/>
      <c r="C194" s="123"/>
      <c r="D194" s="107"/>
      <c r="E194" s="125"/>
      <c r="F194" s="126"/>
      <c r="G194" s="108"/>
      <c r="H194" s="107"/>
      <c r="I194" s="108"/>
    </row>
    <row r="197" spans="1:9" ht="15.75">
      <c r="A197" s="92" t="s">
        <v>730</v>
      </c>
      <c r="B197" s="88"/>
      <c r="C197" s="88"/>
      <c r="D197" s="88"/>
      <c r="E197" s="88"/>
      <c r="F197" s="88"/>
      <c r="G197" s="88"/>
      <c r="H197" s="88"/>
      <c r="I197" s="129"/>
    </row>
    <row r="198" spans="1:9" ht="15.75">
      <c r="A198" s="127"/>
      <c r="B198" s="128"/>
      <c r="C198" s="128"/>
      <c r="D198" s="128"/>
      <c r="E198" s="128"/>
      <c r="F198" s="128"/>
      <c r="G198" s="128"/>
      <c r="H198" s="128"/>
      <c r="I198" s="135"/>
    </row>
    <row r="199" spans="1:9" ht="15.75">
      <c r="A199" s="93" t="s">
        <v>688</v>
      </c>
      <c r="B199" s="93"/>
      <c r="C199" s="93"/>
      <c r="D199" s="93"/>
      <c r="E199" s="93"/>
      <c r="F199" s="93"/>
      <c r="G199" s="93"/>
      <c r="H199" s="93"/>
      <c r="I199" s="93"/>
    </row>
    <row r="200" spans="1:9" ht="15.75">
      <c r="A200" s="107"/>
      <c r="B200" s="107"/>
      <c r="C200" s="107"/>
      <c r="D200" s="107"/>
      <c r="E200" s="107"/>
      <c r="F200" s="108"/>
      <c r="G200" s="108"/>
      <c r="H200" s="107"/>
      <c r="I200" s="108"/>
    </row>
    <row r="201" spans="1:9" ht="15.75">
      <c r="A201" s="94" t="s">
        <v>689</v>
      </c>
      <c r="B201" s="94"/>
      <c r="C201" s="94"/>
      <c r="D201" s="94"/>
      <c r="E201" s="94"/>
      <c r="F201" s="94" t="s">
        <v>690</v>
      </c>
      <c r="G201" s="94"/>
      <c r="H201" s="94"/>
      <c r="I201" s="94" t="s">
        <v>691</v>
      </c>
    </row>
    <row r="202" spans="1:9" ht="15.75">
      <c r="A202" s="94"/>
      <c r="B202" s="94"/>
      <c r="C202" s="94"/>
      <c r="D202" s="94"/>
      <c r="E202" s="94"/>
      <c r="F202" s="95" t="s">
        <v>692</v>
      </c>
      <c r="G202" s="95" t="s">
        <v>693</v>
      </c>
      <c r="H202" s="95" t="s">
        <v>694</v>
      </c>
      <c r="I202" s="94"/>
    </row>
    <row r="203" spans="1:9" ht="15.75">
      <c r="A203" s="94" t="s">
        <v>695</v>
      </c>
      <c r="B203" s="96" t="s">
        <v>696</v>
      </c>
      <c r="C203" s="96"/>
      <c r="D203" s="96"/>
      <c r="E203" s="96"/>
      <c r="F203" s="131">
        <v>0.03</v>
      </c>
      <c r="G203" s="144">
        <v>0.04</v>
      </c>
      <c r="H203" s="131">
        <v>0.055</v>
      </c>
      <c r="I203" s="131">
        <v>0.04</v>
      </c>
    </row>
    <row r="204" spans="1:9" ht="15.75">
      <c r="A204" s="94"/>
      <c r="B204" s="99" t="s">
        <v>727</v>
      </c>
      <c r="C204" s="99"/>
      <c r="D204" s="99"/>
      <c r="E204" s="99"/>
      <c r="F204" s="131">
        <v>0.008</v>
      </c>
      <c r="G204" s="144">
        <v>0.008</v>
      </c>
      <c r="H204" s="131">
        <v>0.01</v>
      </c>
      <c r="I204" s="131">
        <v>0.008</v>
      </c>
    </row>
    <row r="205" spans="1:9" ht="15.75">
      <c r="A205" s="94"/>
      <c r="B205" s="99" t="s">
        <v>697</v>
      </c>
      <c r="C205" s="99"/>
      <c r="D205" s="99"/>
      <c r="E205" s="99"/>
      <c r="F205" s="131">
        <v>0.0097</v>
      </c>
      <c r="G205" s="144">
        <v>0.0127</v>
      </c>
      <c r="H205" s="131">
        <v>0.0127</v>
      </c>
      <c r="I205" s="131">
        <v>0.0127</v>
      </c>
    </row>
    <row r="206" spans="1:9" ht="15.75">
      <c r="A206" s="94"/>
      <c r="B206" s="100" t="s">
        <v>698</v>
      </c>
      <c r="C206" s="100"/>
      <c r="D206" s="100"/>
      <c r="E206" s="100"/>
      <c r="F206" s="100"/>
      <c r="G206" s="100"/>
      <c r="H206" s="100"/>
      <c r="I206" s="103">
        <v>0.0607</v>
      </c>
    </row>
    <row r="207" spans="1:9" ht="15.75">
      <c r="A207" s="94" t="s">
        <v>699</v>
      </c>
      <c r="B207" s="96" t="s">
        <v>700</v>
      </c>
      <c r="C207" s="96"/>
      <c r="D207" s="96"/>
      <c r="E207" s="96"/>
      <c r="F207" s="131">
        <v>0.0059</v>
      </c>
      <c r="G207" s="144">
        <v>0.0123</v>
      </c>
      <c r="H207" s="131">
        <v>0.0139</v>
      </c>
      <c r="I207" s="102">
        <v>0.0123</v>
      </c>
    </row>
    <row r="208" spans="1:9" ht="15.75">
      <c r="A208" s="94"/>
      <c r="B208" s="100" t="s">
        <v>698</v>
      </c>
      <c r="C208" s="100"/>
      <c r="D208" s="100"/>
      <c r="E208" s="100"/>
      <c r="F208" s="100"/>
      <c r="G208" s="100"/>
      <c r="H208" s="100"/>
      <c r="I208" s="103">
        <v>0.0123</v>
      </c>
    </row>
    <row r="209" spans="1:9" ht="15.75">
      <c r="A209" s="94" t="s">
        <v>701</v>
      </c>
      <c r="B209" s="96" t="s">
        <v>702</v>
      </c>
      <c r="C209" s="96"/>
      <c r="D209" s="96"/>
      <c r="E209" s="96"/>
      <c r="F209" s="131">
        <v>0.0616</v>
      </c>
      <c r="G209" s="144">
        <v>0.074</v>
      </c>
      <c r="H209" s="131">
        <v>0.0896</v>
      </c>
      <c r="I209" s="102">
        <v>0.074</v>
      </c>
    </row>
    <row r="210" spans="1:9" ht="15.75">
      <c r="A210" s="94"/>
      <c r="B210" s="100" t="s">
        <v>698</v>
      </c>
      <c r="C210" s="100"/>
      <c r="D210" s="100"/>
      <c r="E210" s="100"/>
      <c r="F210" s="100"/>
      <c r="G210" s="100"/>
      <c r="H210" s="100"/>
      <c r="I210" s="103">
        <v>0.074</v>
      </c>
    </row>
    <row r="211" spans="1:9" ht="15.75">
      <c r="A211" s="94" t="s">
        <v>703</v>
      </c>
      <c r="B211" s="101" t="s">
        <v>704</v>
      </c>
      <c r="C211" s="101"/>
      <c r="D211" s="101"/>
      <c r="E211" s="101"/>
      <c r="F211" s="101"/>
      <c r="G211" s="101"/>
      <c r="H211" s="101"/>
      <c r="I211" s="132"/>
    </row>
    <row r="212" spans="1:9" ht="15.75">
      <c r="A212" s="94"/>
      <c r="B212" s="99" t="s">
        <v>705</v>
      </c>
      <c r="C212" s="99"/>
      <c r="D212" s="99"/>
      <c r="E212" s="99"/>
      <c r="F212" s="102">
        <v>0.03</v>
      </c>
      <c r="G212" s="103">
        <v>0.03</v>
      </c>
      <c r="H212" s="102">
        <v>0.03</v>
      </c>
      <c r="I212" s="102">
        <v>0.03</v>
      </c>
    </row>
    <row r="213" spans="1:9" ht="15.75">
      <c r="A213" s="94"/>
      <c r="B213" s="99" t="s">
        <v>706</v>
      </c>
      <c r="C213" s="99"/>
      <c r="D213" s="99"/>
      <c r="E213" s="99"/>
      <c r="F213" s="102">
        <v>0.0065</v>
      </c>
      <c r="G213" s="103">
        <v>0.0065</v>
      </c>
      <c r="H213" s="102">
        <v>0.0065</v>
      </c>
      <c r="I213" s="102">
        <v>0.0065</v>
      </c>
    </row>
    <row r="214" spans="1:9" ht="15.75">
      <c r="A214" s="94"/>
      <c r="B214" s="99" t="s">
        <v>707</v>
      </c>
      <c r="C214" s="99"/>
      <c r="D214" s="99"/>
      <c r="E214" s="99"/>
      <c r="F214" s="149">
        <v>0.02</v>
      </c>
      <c r="G214" s="150">
        <v>0.035</v>
      </c>
      <c r="H214" s="149">
        <v>0.05</v>
      </c>
      <c r="I214" s="149">
        <v>0.025</v>
      </c>
    </row>
    <row r="215" spans="1:9" ht="15.75">
      <c r="A215" s="94"/>
      <c r="B215" s="99" t="s">
        <v>708</v>
      </c>
      <c r="C215" s="99"/>
      <c r="D215" s="99"/>
      <c r="E215" s="99"/>
      <c r="F215" s="102">
        <v>0.045</v>
      </c>
      <c r="G215" s="103">
        <v>0.045</v>
      </c>
      <c r="H215" s="102">
        <v>0.045</v>
      </c>
      <c r="I215" s="102">
        <v>0.045</v>
      </c>
    </row>
    <row r="216" spans="1:9" ht="15.75">
      <c r="A216" s="94"/>
      <c r="B216" s="100" t="s">
        <v>698</v>
      </c>
      <c r="C216" s="100"/>
      <c r="D216" s="100"/>
      <c r="E216" s="100"/>
      <c r="F216" s="100"/>
      <c r="G216" s="100"/>
      <c r="H216" s="100"/>
      <c r="I216" s="133">
        <v>0.1065</v>
      </c>
    </row>
    <row r="217" spans="1:9" ht="15.75">
      <c r="A217" s="106" t="s">
        <v>709</v>
      </c>
      <c r="B217" s="106"/>
      <c r="C217" s="106"/>
      <c r="D217" s="106"/>
      <c r="E217" s="106"/>
      <c r="F217" s="106"/>
      <c r="G217" s="106"/>
      <c r="H217" s="106"/>
      <c r="I217" s="134">
        <v>0.2907</v>
      </c>
    </row>
    <row r="218" spans="1:9" ht="15.75">
      <c r="A218" s="107"/>
      <c r="B218" s="107"/>
      <c r="C218" s="107"/>
      <c r="D218" s="107"/>
      <c r="E218" s="107"/>
      <c r="F218" s="108"/>
      <c r="G218" s="108"/>
      <c r="H218" s="107"/>
      <c r="I218" s="108"/>
    </row>
    <row r="219" spans="1:9" ht="15.75">
      <c r="A219" s="95" t="s">
        <v>710</v>
      </c>
      <c r="B219" s="95"/>
      <c r="C219" s="95"/>
      <c r="D219" s="95"/>
      <c r="E219" s="95"/>
      <c r="F219" s="95" t="s">
        <v>711</v>
      </c>
      <c r="G219" s="95"/>
      <c r="H219" s="95"/>
      <c r="I219" s="95"/>
    </row>
    <row r="220" spans="1:9" ht="15.75">
      <c r="A220" s="109" t="s">
        <v>712</v>
      </c>
      <c r="B220" s="110" t="s">
        <v>713</v>
      </c>
      <c r="C220" s="110"/>
      <c r="D220" s="110"/>
      <c r="E220" s="110"/>
      <c r="F220" s="111"/>
      <c r="G220" s="111"/>
      <c r="H220" s="111"/>
      <c r="I220" s="111"/>
    </row>
    <row r="221" spans="1:9" ht="15.75">
      <c r="A221" s="112" t="s">
        <v>714</v>
      </c>
      <c r="B221" s="110" t="s">
        <v>715</v>
      </c>
      <c r="C221" s="110"/>
      <c r="D221" s="110"/>
      <c r="E221" s="110"/>
      <c r="F221" s="111"/>
      <c r="G221" s="111"/>
      <c r="H221" s="111"/>
      <c r="I221" s="111"/>
    </row>
    <row r="222" spans="1:9" ht="15.75">
      <c r="A222" s="112" t="s">
        <v>716</v>
      </c>
      <c r="B222" s="110" t="s">
        <v>702</v>
      </c>
      <c r="C222" s="110"/>
      <c r="D222" s="110"/>
      <c r="E222" s="110"/>
      <c r="F222" s="111"/>
      <c r="G222" s="111"/>
      <c r="H222" s="111"/>
      <c r="I222" s="111"/>
    </row>
    <row r="223" spans="1:9" ht="15.75">
      <c r="A223" s="112" t="s">
        <v>717</v>
      </c>
      <c r="B223" s="110" t="s">
        <v>718</v>
      </c>
      <c r="C223" s="110"/>
      <c r="D223" s="110"/>
      <c r="E223" s="110"/>
      <c r="F223" s="111"/>
      <c r="G223" s="111"/>
      <c r="H223" s="111"/>
      <c r="I223" s="111"/>
    </row>
    <row r="224" spans="1:9" ht="15.75">
      <c r="A224" s="107"/>
      <c r="B224" s="107"/>
      <c r="C224" s="107"/>
      <c r="D224" s="107"/>
      <c r="E224" s="107"/>
      <c r="F224" s="111"/>
      <c r="G224" s="111"/>
      <c r="H224" s="111"/>
      <c r="I224" s="111"/>
    </row>
    <row r="225" spans="1:9" ht="15.75">
      <c r="A225" s="113" t="s">
        <v>719</v>
      </c>
      <c r="B225" s="114" t="s">
        <v>720</v>
      </c>
      <c r="C225" s="114" t="s">
        <v>721</v>
      </c>
      <c r="D225" s="114" t="s">
        <v>722</v>
      </c>
      <c r="E225" s="115" t="s">
        <v>723</v>
      </c>
      <c r="F225" s="108"/>
      <c r="G225" s="108"/>
      <c r="H225" s="107"/>
      <c r="I225" s="108"/>
    </row>
    <row r="226" spans="1:9" ht="15.75">
      <c r="A226" s="113"/>
      <c r="B226" s="116"/>
      <c r="C226" s="116" t="s">
        <v>724</v>
      </c>
      <c r="D226" s="116"/>
      <c r="E226" s="115"/>
      <c r="F226" s="108"/>
      <c r="G226" s="108"/>
      <c r="H226" s="107"/>
      <c r="I226" s="108"/>
    </row>
    <row r="227" spans="1:9" ht="15.75">
      <c r="A227" s="107"/>
      <c r="B227" s="107"/>
      <c r="C227" s="107"/>
      <c r="D227" s="107"/>
      <c r="E227" s="107"/>
      <c r="F227" s="108"/>
      <c r="G227" s="108"/>
      <c r="H227" s="107"/>
      <c r="I227" s="108"/>
    </row>
    <row r="228" spans="1:9" ht="15.75">
      <c r="A228" s="107"/>
      <c r="B228" s="107"/>
      <c r="C228" s="107"/>
      <c r="D228" s="107"/>
      <c r="E228" s="107"/>
      <c r="F228" s="108"/>
      <c r="G228" s="108"/>
      <c r="H228" s="107"/>
      <c r="I228" s="108"/>
    </row>
    <row r="229" spans="1:9" ht="15.75">
      <c r="A229" s="113" t="s">
        <v>719</v>
      </c>
      <c r="B229" s="117">
        <v>0.0607</v>
      </c>
      <c r="C229" s="117">
        <v>0.0123</v>
      </c>
      <c r="D229" s="118">
        <v>0.074</v>
      </c>
      <c r="E229" s="115" t="s">
        <v>723</v>
      </c>
      <c r="F229" s="108"/>
      <c r="G229" s="108"/>
      <c r="H229" s="107"/>
      <c r="I229" s="108"/>
    </row>
    <row r="230" spans="1:9" ht="15.75">
      <c r="A230" s="113"/>
      <c r="B230" s="116"/>
      <c r="C230" s="119">
        <v>0.1065</v>
      </c>
      <c r="D230" s="116"/>
      <c r="E230" s="115"/>
      <c r="F230" s="108"/>
      <c r="G230" s="108"/>
      <c r="H230" s="107"/>
      <c r="I230" s="108"/>
    </row>
    <row r="231" spans="1:9" ht="15.75">
      <c r="A231" s="107"/>
      <c r="B231" s="107"/>
      <c r="C231" s="107"/>
      <c r="D231" s="107"/>
      <c r="E231" s="107"/>
      <c r="F231" s="108"/>
      <c r="G231" s="108"/>
      <c r="H231" s="107"/>
      <c r="I231" s="108"/>
    </row>
    <row r="232" spans="1:9" ht="15.75">
      <c r="A232" s="107"/>
      <c r="B232" s="107"/>
      <c r="C232" s="107"/>
      <c r="D232" s="107"/>
      <c r="E232" s="107"/>
      <c r="F232" s="108"/>
      <c r="G232" s="108"/>
      <c r="H232" s="107"/>
      <c r="I232" s="108"/>
    </row>
    <row r="233" spans="1:9" ht="15.75">
      <c r="A233" s="113" t="s">
        <v>719</v>
      </c>
      <c r="B233" s="120">
        <v>1.0607</v>
      </c>
      <c r="C233" s="120">
        <v>1.0123</v>
      </c>
      <c r="D233" s="121">
        <v>1.074</v>
      </c>
      <c r="E233" s="115" t="s">
        <v>723</v>
      </c>
      <c r="F233" s="108"/>
      <c r="G233" s="108"/>
      <c r="H233" s="107"/>
      <c r="I233" s="108"/>
    </row>
    <row r="234" spans="1:9" ht="15.75">
      <c r="A234" s="113"/>
      <c r="B234" s="116"/>
      <c r="C234" s="122">
        <v>0.8935</v>
      </c>
      <c r="D234" s="116"/>
      <c r="E234" s="115"/>
      <c r="F234" s="108"/>
      <c r="G234" s="108"/>
      <c r="H234" s="107"/>
      <c r="I234" s="108"/>
    </row>
    <row r="235" spans="1:9" ht="15.75">
      <c r="A235" s="107"/>
      <c r="B235" s="107"/>
      <c r="C235" s="107"/>
      <c r="D235" s="107"/>
      <c r="E235" s="107"/>
      <c r="F235" s="108"/>
      <c r="G235" s="108"/>
      <c r="H235" s="107"/>
      <c r="I235" s="108"/>
    </row>
    <row r="236" spans="1:9" ht="15.75">
      <c r="A236" s="107"/>
      <c r="B236" s="107"/>
      <c r="C236" s="107"/>
      <c r="D236" s="107"/>
      <c r="E236" s="107"/>
      <c r="F236" s="108"/>
      <c r="G236" s="108"/>
      <c r="H236" s="107"/>
      <c r="I236" s="108"/>
    </row>
    <row r="237" spans="1:9" ht="15.75">
      <c r="A237" s="113" t="s">
        <v>719</v>
      </c>
      <c r="B237" s="121">
        <v>1.15320385914</v>
      </c>
      <c r="C237" s="123" t="s">
        <v>725</v>
      </c>
      <c r="D237" s="107"/>
      <c r="E237" s="107"/>
      <c r="F237" s="108"/>
      <c r="G237" s="108"/>
      <c r="H237" s="107"/>
      <c r="I237" s="108"/>
    </row>
    <row r="238" spans="1:9" ht="15.75">
      <c r="A238" s="113"/>
      <c r="B238" s="122">
        <v>0.8935</v>
      </c>
      <c r="C238" s="123"/>
      <c r="D238" s="107"/>
      <c r="E238" s="107"/>
      <c r="F238" s="108"/>
      <c r="G238" s="108"/>
      <c r="H238" s="107"/>
      <c r="I238" s="108"/>
    </row>
    <row r="239" spans="1:9" ht="15.75">
      <c r="A239" s="107"/>
      <c r="B239" s="107"/>
      <c r="C239" s="107"/>
      <c r="D239" s="107"/>
      <c r="E239" s="107"/>
      <c r="F239" s="108"/>
      <c r="G239" s="108"/>
      <c r="H239" s="107"/>
      <c r="I239" s="108"/>
    </row>
    <row r="240" spans="1:9" ht="15.75">
      <c r="A240" s="107"/>
      <c r="B240" s="107"/>
      <c r="C240" s="107"/>
      <c r="D240" s="107"/>
      <c r="E240" s="107"/>
      <c r="F240" s="108"/>
      <c r="G240" s="108"/>
      <c r="H240" s="107"/>
      <c r="I240" s="108"/>
    </row>
    <row r="241" spans="1:9" ht="15.75">
      <c r="A241" s="113" t="s">
        <v>719</v>
      </c>
      <c r="B241" s="124">
        <v>1.29065904772244</v>
      </c>
      <c r="C241" s="123" t="s">
        <v>725</v>
      </c>
      <c r="D241" s="107"/>
      <c r="E241" s="125" t="s">
        <v>719</v>
      </c>
      <c r="F241" s="126">
        <v>0.2907</v>
      </c>
      <c r="G241" s="108"/>
      <c r="H241" s="107"/>
      <c r="I241" s="108"/>
    </row>
    <row r="242" spans="1:9" ht="15.75">
      <c r="A242" s="113"/>
      <c r="B242" s="124"/>
      <c r="C242" s="123"/>
      <c r="D242" s="107"/>
      <c r="E242" s="125"/>
      <c r="F242" s="126"/>
      <c r="G242" s="108"/>
      <c r="H242" s="107"/>
      <c r="I242" s="108"/>
    </row>
    <row r="243" spans="1:9" ht="15.75">
      <c r="A243" s="107"/>
      <c r="B243" s="107"/>
      <c r="C243" s="107"/>
      <c r="D243" s="107"/>
      <c r="E243" s="107"/>
      <c r="F243" s="108"/>
      <c r="G243" s="108"/>
      <c r="H243" s="107"/>
      <c r="I243" s="108"/>
    </row>
    <row r="245" spans="1:9" ht="15.75">
      <c r="A245" s="92" t="s">
        <v>731</v>
      </c>
      <c r="B245" s="88"/>
      <c r="C245" s="88"/>
      <c r="D245" s="88"/>
      <c r="E245" s="88"/>
      <c r="F245" s="88"/>
      <c r="G245" s="88"/>
      <c r="H245" s="88"/>
      <c r="I245" s="129"/>
    </row>
    <row r="246" spans="1:9" ht="15.75">
      <c r="A246" s="127"/>
      <c r="B246" s="128"/>
      <c r="C246" s="128"/>
      <c r="D246" s="128"/>
      <c r="E246" s="128"/>
      <c r="F246" s="128"/>
      <c r="G246" s="128"/>
      <c r="H246" s="128"/>
      <c r="I246" s="135"/>
    </row>
    <row r="247" spans="1:9" ht="15.75">
      <c r="A247" s="93" t="s">
        <v>688</v>
      </c>
      <c r="B247" s="93"/>
      <c r="C247" s="93"/>
      <c r="D247" s="93"/>
      <c r="E247" s="93"/>
      <c r="F247" s="93"/>
      <c r="G247" s="93"/>
      <c r="H247" s="93"/>
      <c r="I247" s="93"/>
    </row>
    <row r="248" spans="1:9" ht="15.75">
      <c r="A248" s="107"/>
      <c r="B248" s="107"/>
      <c r="C248" s="107"/>
      <c r="D248" s="107"/>
      <c r="E248" s="107"/>
      <c r="F248" s="108"/>
      <c r="G248" s="108"/>
      <c r="H248" s="107"/>
      <c r="I248" s="108"/>
    </row>
    <row r="249" spans="1:9" ht="15.75">
      <c r="A249" s="94" t="s">
        <v>689</v>
      </c>
      <c r="B249" s="94"/>
      <c r="C249" s="94"/>
      <c r="D249" s="94"/>
      <c r="E249" s="94"/>
      <c r="F249" s="94" t="s">
        <v>690</v>
      </c>
      <c r="G249" s="94"/>
      <c r="H249" s="94"/>
      <c r="I249" s="94" t="s">
        <v>691</v>
      </c>
    </row>
    <row r="250" spans="1:9" ht="15.75">
      <c r="A250" s="94"/>
      <c r="B250" s="94"/>
      <c r="C250" s="94"/>
      <c r="D250" s="94"/>
      <c r="E250" s="94"/>
      <c r="F250" s="95" t="s">
        <v>692</v>
      </c>
      <c r="G250" s="95" t="s">
        <v>693</v>
      </c>
      <c r="H250" s="95" t="s">
        <v>694</v>
      </c>
      <c r="I250" s="94"/>
    </row>
    <row r="251" spans="1:9" ht="15.75">
      <c r="A251" s="94" t="s">
        <v>695</v>
      </c>
      <c r="B251" s="96" t="s">
        <v>696</v>
      </c>
      <c r="C251" s="96"/>
      <c r="D251" s="96"/>
      <c r="E251" s="96"/>
      <c r="F251" s="131">
        <v>0.03</v>
      </c>
      <c r="G251" s="144">
        <v>0.04</v>
      </c>
      <c r="H251" s="131">
        <v>0.055</v>
      </c>
      <c r="I251" s="131">
        <v>0.04</v>
      </c>
    </row>
    <row r="252" spans="1:9" ht="15.75">
      <c r="A252" s="94"/>
      <c r="B252" s="99" t="s">
        <v>727</v>
      </c>
      <c r="C252" s="99"/>
      <c r="D252" s="99"/>
      <c r="E252" s="99"/>
      <c r="F252" s="131">
        <v>0.008</v>
      </c>
      <c r="G252" s="144">
        <v>0.008</v>
      </c>
      <c r="H252" s="131">
        <v>0.01</v>
      </c>
      <c r="I252" s="131">
        <v>0.008</v>
      </c>
    </row>
    <row r="253" spans="1:9" ht="15.75">
      <c r="A253" s="94"/>
      <c r="B253" s="99" t="s">
        <v>697</v>
      </c>
      <c r="C253" s="99"/>
      <c r="D253" s="99"/>
      <c r="E253" s="99"/>
      <c r="F253" s="131">
        <v>0.0097</v>
      </c>
      <c r="G253" s="144">
        <v>0.0127</v>
      </c>
      <c r="H253" s="131">
        <v>0.0127</v>
      </c>
      <c r="I253" s="131">
        <v>0.0127</v>
      </c>
    </row>
    <row r="254" spans="1:9" ht="15.75">
      <c r="A254" s="94"/>
      <c r="B254" s="100" t="s">
        <v>698</v>
      </c>
      <c r="C254" s="100"/>
      <c r="D254" s="100"/>
      <c r="E254" s="100"/>
      <c r="F254" s="100"/>
      <c r="G254" s="100"/>
      <c r="H254" s="100"/>
      <c r="I254" s="103">
        <v>0.0607</v>
      </c>
    </row>
    <row r="255" spans="1:9" ht="15.75">
      <c r="A255" s="94" t="s">
        <v>699</v>
      </c>
      <c r="B255" s="96" t="s">
        <v>700</v>
      </c>
      <c r="C255" s="96"/>
      <c r="D255" s="96"/>
      <c r="E255" s="96"/>
      <c r="F255" s="131">
        <v>0.0059</v>
      </c>
      <c r="G255" s="144">
        <v>0.0123</v>
      </c>
      <c r="H255" s="131">
        <v>0.0139</v>
      </c>
      <c r="I255" s="102">
        <v>0.0123</v>
      </c>
    </row>
    <row r="256" spans="1:9" ht="15.75">
      <c r="A256" s="94"/>
      <c r="B256" s="100" t="s">
        <v>698</v>
      </c>
      <c r="C256" s="100"/>
      <c r="D256" s="100"/>
      <c r="E256" s="100"/>
      <c r="F256" s="100"/>
      <c r="G256" s="100"/>
      <c r="H256" s="100"/>
      <c r="I256" s="103">
        <v>0.0123</v>
      </c>
    </row>
    <row r="257" spans="1:9" ht="15.75">
      <c r="A257" s="94" t="s">
        <v>701</v>
      </c>
      <c r="B257" s="96" t="s">
        <v>702</v>
      </c>
      <c r="C257" s="96"/>
      <c r="D257" s="96"/>
      <c r="E257" s="96"/>
      <c r="F257" s="131">
        <v>0.0616</v>
      </c>
      <c r="G257" s="144">
        <v>0.074</v>
      </c>
      <c r="H257" s="131">
        <v>0.0896</v>
      </c>
      <c r="I257" s="102">
        <v>0.074</v>
      </c>
    </row>
    <row r="258" spans="1:9" ht="15.75">
      <c r="A258" s="94"/>
      <c r="B258" s="100" t="s">
        <v>698</v>
      </c>
      <c r="C258" s="100"/>
      <c r="D258" s="100"/>
      <c r="E258" s="100"/>
      <c r="F258" s="100"/>
      <c r="G258" s="100"/>
      <c r="H258" s="100"/>
      <c r="I258" s="103">
        <v>0.074</v>
      </c>
    </row>
    <row r="259" spans="1:9" ht="15.75">
      <c r="A259" s="94" t="s">
        <v>703</v>
      </c>
      <c r="B259" s="101" t="s">
        <v>704</v>
      </c>
      <c r="C259" s="101"/>
      <c r="D259" s="101"/>
      <c r="E259" s="101"/>
      <c r="F259" s="101"/>
      <c r="G259" s="101"/>
      <c r="H259" s="101"/>
      <c r="I259" s="132"/>
    </row>
    <row r="260" spans="1:9" ht="15.75">
      <c r="A260" s="94"/>
      <c r="B260" s="99" t="s">
        <v>705</v>
      </c>
      <c r="C260" s="99"/>
      <c r="D260" s="99"/>
      <c r="E260" s="99"/>
      <c r="F260" s="102">
        <v>0.03</v>
      </c>
      <c r="G260" s="103">
        <v>0.03</v>
      </c>
      <c r="H260" s="102">
        <v>0.03</v>
      </c>
      <c r="I260" s="102">
        <v>0.03</v>
      </c>
    </row>
    <row r="261" spans="1:9" ht="15.75">
      <c r="A261" s="94"/>
      <c r="B261" s="99" t="s">
        <v>706</v>
      </c>
      <c r="C261" s="99"/>
      <c r="D261" s="99"/>
      <c r="E261" s="99"/>
      <c r="F261" s="102">
        <v>0.0065</v>
      </c>
      <c r="G261" s="103">
        <v>0.0065</v>
      </c>
      <c r="H261" s="102">
        <v>0.0065</v>
      </c>
      <c r="I261" s="102">
        <v>0.0065</v>
      </c>
    </row>
    <row r="262" spans="1:9" ht="15.75">
      <c r="A262" s="94"/>
      <c r="B262" s="99" t="s">
        <v>707</v>
      </c>
      <c r="C262" s="99"/>
      <c r="D262" s="99"/>
      <c r="E262" s="99"/>
      <c r="F262" s="104">
        <v>0.02</v>
      </c>
      <c r="G262" s="105">
        <v>0.035</v>
      </c>
      <c r="H262" s="104">
        <v>0.05</v>
      </c>
      <c r="I262" s="104">
        <v>0.025</v>
      </c>
    </row>
    <row r="263" spans="1:9" ht="15.75">
      <c r="A263" s="94"/>
      <c r="B263" s="99" t="s">
        <v>708</v>
      </c>
      <c r="C263" s="99"/>
      <c r="D263" s="99"/>
      <c r="E263" s="99"/>
      <c r="F263" s="102">
        <v>0.045</v>
      </c>
      <c r="G263" s="103">
        <v>0.045</v>
      </c>
      <c r="H263" s="102">
        <v>0.045</v>
      </c>
      <c r="I263" s="102">
        <v>0.045</v>
      </c>
    </row>
    <row r="264" spans="1:9" ht="15.75">
      <c r="A264" s="94"/>
      <c r="B264" s="100" t="s">
        <v>698</v>
      </c>
      <c r="C264" s="100"/>
      <c r="D264" s="100"/>
      <c r="E264" s="100"/>
      <c r="F264" s="100"/>
      <c r="G264" s="100"/>
      <c r="H264" s="100"/>
      <c r="I264" s="133">
        <v>0.1065</v>
      </c>
    </row>
    <row r="265" spans="1:9" ht="15.75">
      <c r="A265" s="106" t="s">
        <v>709</v>
      </c>
      <c r="B265" s="106"/>
      <c r="C265" s="106"/>
      <c r="D265" s="106"/>
      <c r="E265" s="106"/>
      <c r="F265" s="106"/>
      <c r="G265" s="106"/>
      <c r="H265" s="106"/>
      <c r="I265" s="134">
        <v>0.2907</v>
      </c>
    </row>
    <row r="266" spans="1:9" ht="15.75">
      <c r="A266" s="107"/>
      <c r="B266" s="107"/>
      <c r="C266" s="107"/>
      <c r="D266" s="107"/>
      <c r="E266" s="107"/>
      <c r="F266" s="108"/>
      <c r="G266" s="108"/>
      <c r="H266" s="107"/>
      <c r="I266" s="108"/>
    </row>
    <row r="267" spans="1:9" ht="15.75">
      <c r="A267" s="95" t="s">
        <v>710</v>
      </c>
      <c r="B267" s="95"/>
      <c r="C267" s="95"/>
      <c r="D267" s="95"/>
      <c r="E267" s="95"/>
      <c r="F267" s="95" t="s">
        <v>711</v>
      </c>
      <c r="G267" s="95"/>
      <c r="H267" s="95"/>
      <c r="I267" s="95"/>
    </row>
    <row r="268" spans="1:9" ht="15.75">
      <c r="A268" s="109" t="s">
        <v>712</v>
      </c>
      <c r="B268" s="110" t="s">
        <v>713</v>
      </c>
      <c r="C268" s="110"/>
      <c r="D268" s="110"/>
      <c r="E268" s="110"/>
      <c r="F268" s="111"/>
      <c r="G268" s="111"/>
      <c r="H268" s="111"/>
      <c r="I268" s="111"/>
    </row>
    <row r="269" spans="1:9" ht="15.75">
      <c r="A269" s="112" t="s">
        <v>714</v>
      </c>
      <c r="B269" s="110" t="s">
        <v>715</v>
      </c>
      <c r="C269" s="110"/>
      <c r="D269" s="110"/>
      <c r="E269" s="110"/>
      <c r="F269" s="111"/>
      <c r="G269" s="111"/>
      <c r="H269" s="111"/>
      <c r="I269" s="111"/>
    </row>
    <row r="270" spans="1:9" ht="15.75">
      <c r="A270" s="112" t="s">
        <v>716</v>
      </c>
      <c r="B270" s="110" t="s">
        <v>702</v>
      </c>
      <c r="C270" s="110"/>
      <c r="D270" s="110"/>
      <c r="E270" s="110"/>
      <c r="F270" s="111"/>
      <c r="G270" s="111"/>
      <c r="H270" s="111"/>
      <c r="I270" s="111"/>
    </row>
    <row r="271" spans="1:9" ht="15.75">
      <c r="A271" s="112" t="s">
        <v>717</v>
      </c>
      <c r="B271" s="110" t="s">
        <v>718</v>
      </c>
      <c r="C271" s="110"/>
      <c r="D271" s="110"/>
      <c r="E271" s="110"/>
      <c r="F271" s="111"/>
      <c r="G271" s="111"/>
      <c r="H271" s="111"/>
      <c r="I271" s="111"/>
    </row>
    <row r="272" spans="1:9" ht="15.75">
      <c r="A272" s="107"/>
      <c r="B272" s="107"/>
      <c r="C272" s="107"/>
      <c r="D272" s="107"/>
      <c r="E272" s="107"/>
      <c r="F272" s="111"/>
      <c r="G272" s="111"/>
      <c r="H272" s="111"/>
      <c r="I272" s="111"/>
    </row>
    <row r="273" spans="1:9" ht="15.75">
      <c r="A273" s="113" t="s">
        <v>719</v>
      </c>
      <c r="B273" s="114" t="s">
        <v>720</v>
      </c>
      <c r="C273" s="114" t="s">
        <v>721</v>
      </c>
      <c r="D273" s="114" t="s">
        <v>722</v>
      </c>
      <c r="E273" s="115" t="s">
        <v>723</v>
      </c>
      <c r="F273" s="108"/>
      <c r="G273" s="108"/>
      <c r="H273" s="107"/>
      <c r="I273" s="108"/>
    </row>
    <row r="274" spans="1:9" ht="15.75">
      <c r="A274" s="113"/>
      <c r="B274" s="116"/>
      <c r="C274" s="116" t="s">
        <v>724</v>
      </c>
      <c r="D274" s="116"/>
      <c r="E274" s="115"/>
      <c r="F274" s="108"/>
      <c r="G274" s="108"/>
      <c r="H274" s="107"/>
      <c r="I274" s="108"/>
    </row>
    <row r="275" spans="1:9" ht="15.75">
      <c r="A275" s="107"/>
      <c r="B275" s="107"/>
      <c r="C275" s="107"/>
      <c r="D275" s="107"/>
      <c r="E275" s="107"/>
      <c r="F275" s="108"/>
      <c r="G275" s="108"/>
      <c r="H275" s="107"/>
      <c r="I275" s="108"/>
    </row>
    <row r="276" spans="1:9" ht="15.75">
      <c r="A276" s="107"/>
      <c r="B276" s="107"/>
      <c r="C276" s="107"/>
      <c r="D276" s="107"/>
      <c r="E276" s="107"/>
      <c r="F276" s="108"/>
      <c r="G276" s="108"/>
      <c r="H276" s="107"/>
      <c r="I276" s="108"/>
    </row>
    <row r="277" spans="1:9" ht="15.75">
      <c r="A277" s="113" t="s">
        <v>719</v>
      </c>
      <c r="B277" s="117">
        <v>0.0607</v>
      </c>
      <c r="C277" s="117">
        <v>0.0123</v>
      </c>
      <c r="D277" s="118">
        <v>0.074</v>
      </c>
      <c r="E277" s="115" t="s">
        <v>723</v>
      </c>
      <c r="F277" s="108"/>
      <c r="G277" s="108"/>
      <c r="H277" s="107"/>
      <c r="I277" s="108"/>
    </row>
    <row r="278" spans="1:9" ht="15.75">
      <c r="A278" s="113"/>
      <c r="B278" s="116"/>
      <c r="C278" s="119">
        <v>0.1065</v>
      </c>
      <c r="D278" s="116"/>
      <c r="E278" s="115"/>
      <c r="F278" s="108"/>
      <c r="G278" s="108"/>
      <c r="H278" s="107"/>
      <c r="I278" s="108"/>
    </row>
    <row r="279" spans="1:9" ht="15.75">
      <c r="A279" s="107"/>
      <c r="B279" s="107"/>
      <c r="C279" s="107"/>
      <c r="D279" s="107"/>
      <c r="E279" s="107"/>
      <c r="F279" s="108"/>
      <c r="G279" s="108"/>
      <c r="H279" s="107"/>
      <c r="I279" s="108"/>
    </row>
    <row r="280" spans="1:9" ht="15.75">
      <c r="A280" s="107"/>
      <c r="B280" s="107"/>
      <c r="C280" s="107"/>
      <c r="D280" s="107"/>
      <c r="E280" s="107"/>
      <c r="F280" s="108"/>
      <c r="G280" s="108"/>
      <c r="H280" s="107"/>
      <c r="I280" s="108"/>
    </row>
    <row r="281" spans="1:9" ht="15.75">
      <c r="A281" s="113" t="s">
        <v>719</v>
      </c>
      <c r="B281" s="120">
        <v>1.0607</v>
      </c>
      <c r="C281" s="120">
        <v>1.0123</v>
      </c>
      <c r="D281" s="121">
        <v>1.074</v>
      </c>
      <c r="E281" s="115" t="s">
        <v>723</v>
      </c>
      <c r="F281" s="108"/>
      <c r="G281" s="108"/>
      <c r="H281" s="107"/>
      <c r="I281" s="108"/>
    </row>
    <row r="282" spans="1:9" ht="15.75">
      <c r="A282" s="113"/>
      <c r="B282" s="116"/>
      <c r="C282" s="122">
        <v>0.8935</v>
      </c>
      <c r="D282" s="116"/>
      <c r="E282" s="115"/>
      <c r="F282" s="108"/>
      <c r="G282" s="108"/>
      <c r="H282" s="107"/>
      <c r="I282" s="108"/>
    </row>
    <row r="283" spans="1:9" ht="15.75">
      <c r="A283" s="107"/>
      <c r="B283" s="107"/>
      <c r="C283" s="107"/>
      <c r="D283" s="107"/>
      <c r="E283" s="107"/>
      <c r="F283" s="108"/>
      <c r="G283" s="108"/>
      <c r="H283" s="107"/>
      <c r="I283" s="108"/>
    </row>
    <row r="284" spans="1:9" ht="15.75">
      <c r="A284" s="107"/>
      <c r="B284" s="107"/>
      <c r="C284" s="107"/>
      <c r="D284" s="107"/>
      <c r="E284" s="107"/>
      <c r="F284" s="108"/>
      <c r="G284" s="108"/>
      <c r="H284" s="107"/>
      <c r="I284" s="108"/>
    </row>
    <row r="285" spans="1:9" ht="15.75">
      <c r="A285" s="113" t="s">
        <v>719</v>
      </c>
      <c r="B285" s="121">
        <v>1.15320385914</v>
      </c>
      <c r="C285" s="123" t="s">
        <v>725</v>
      </c>
      <c r="D285" s="107"/>
      <c r="E285" s="107"/>
      <c r="F285" s="108"/>
      <c r="G285" s="108"/>
      <c r="H285" s="107"/>
      <c r="I285" s="108"/>
    </row>
    <row r="286" spans="1:9" ht="15.75">
      <c r="A286" s="113"/>
      <c r="B286" s="122">
        <v>0.8935</v>
      </c>
      <c r="C286" s="123"/>
      <c r="D286" s="107"/>
      <c r="E286" s="107"/>
      <c r="F286" s="108"/>
      <c r="G286" s="108"/>
      <c r="H286" s="107"/>
      <c r="I286" s="108"/>
    </row>
    <row r="287" spans="1:9" ht="15.75">
      <c r="A287" s="107"/>
      <c r="B287" s="107"/>
      <c r="C287" s="107"/>
      <c r="D287" s="107"/>
      <c r="E287" s="107"/>
      <c r="F287" s="108"/>
      <c r="G287" s="108"/>
      <c r="H287" s="107"/>
      <c r="I287" s="108"/>
    </row>
    <row r="288" spans="1:9" ht="15.75">
      <c r="A288" s="107"/>
      <c r="B288" s="107"/>
      <c r="C288" s="107"/>
      <c r="D288" s="107"/>
      <c r="E288" s="107"/>
      <c r="F288" s="108"/>
      <c r="G288" s="108"/>
      <c r="H288" s="107"/>
      <c r="I288" s="108"/>
    </row>
    <row r="289" spans="1:9" ht="15.75">
      <c r="A289" s="113" t="s">
        <v>719</v>
      </c>
      <c r="B289" s="124">
        <v>1.29065904772244</v>
      </c>
      <c r="C289" s="123" t="s">
        <v>725</v>
      </c>
      <c r="D289" s="107"/>
      <c r="E289" s="125" t="s">
        <v>719</v>
      </c>
      <c r="F289" s="126">
        <v>0.2907</v>
      </c>
      <c r="G289" s="108"/>
      <c r="H289" s="107"/>
      <c r="I289" s="108"/>
    </row>
    <row r="290" spans="1:9" ht="15.75">
      <c r="A290" s="113"/>
      <c r="B290" s="124"/>
      <c r="C290" s="123"/>
      <c r="D290" s="107"/>
      <c r="E290" s="125"/>
      <c r="F290" s="126"/>
      <c r="G290" s="108"/>
      <c r="H290" s="107"/>
      <c r="I290" s="108"/>
    </row>
    <row r="291" spans="1:9" ht="15.75">
      <c r="A291" s="107"/>
      <c r="B291" s="107"/>
      <c r="C291" s="107"/>
      <c r="D291" s="107"/>
      <c r="E291" s="107"/>
      <c r="F291" s="108"/>
      <c r="G291" s="108"/>
      <c r="H291" s="107"/>
      <c r="I291" s="108"/>
    </row>
    <row r="293" spans="1:9" ht="15.75">
      <c r="A293" s="92" t="s">
        <v>732</v>
      </c>
      <c r="B293" s="88"/>
      <c r="C293" s="88"/>
      <c r="D293" s="88"/>
      <c r="E293" s="88"/>
      <c r="F293" s="88"/>
      <c r="G293" s="88"/>
      <c r="H293" s="88"/>
      <c r="I293" s="129"/>
    </row>
    <row r="294" spans="1:9" ht="15.75">
      <c r="A294" s="127"/>
      <c r="B294" s="128"/>
      <c r="C294" s="128"/>
      <c r="D294" s="128"/>
      <c r="E294" s="128"/>
      <c r="F294" s="128"/>
      <c r="G294" s="128"/>
      <c r="H294" s="128"/>
      <c r="I294" s="135"/>
    </row>
    <row r="295" spans="1:9" ht="15.75">
      <c r="A295" s="93" t="s">
        <v>688</v>
      </c>
      <c r="B295" s="93"/>
      <c r="C295" s="93"/>
      <c r="D295" s="93"/>
      <c r="E295" s="93"/>
      <c r="F295" s="93"/>
      <c r="G295" s="93"/>
      <c r="H295" s="93"/>
      <c r="I295" s="93"/>
    </row>
    <row r="296" spans="1:9" ht="15.75">
      <c r="A296" s="107"/>
      <c r="B296" s="107"/>
      <c r="C296" s="107"/>
      <c r="D296" s="107"/>
      <c r="E296" s="107"/>
      <c r="F296" s="108"/>
      <c r="G296" s="108"/>
      <c r="H296" s="107"/>
      <c r="I296" s="108"/>
    </row>
    <row r="297" spans="1:9" ht="15.75">
      <c r="A297" s="94" t="s">
        <v>689</v>
      </c>
      <c r="B297" s="94"/>
      <c r="C297" s="94"/>
      <c r="D297" s="94"/>
      <c r="E297" s="94"/>
      <c r="F297" s="94" t="s">
        <v>690</v>
      </c>
      <c r="G297" s="94"/>
      <c r="H297" s="94"/>
      <c r="I297" s="94" t="s">
        <v>691</v>
      </c>
    </row>
    <row r="298" spans="1:9" ht="15.75">
      <c r="A298" s="94"/>
      <c r="B298" s="94"/>
      <c r="C298" s="94"/>
      <c r="D298" s="94"/>
      <c r="E298" s="94"/>
      <c r="F298" s="95" t="s">
        <v>692</v>
      </c>
      <c r="G298" s="95" t="s">
        <v>693</v>
      </c>
      <c r="H298" s="95" t="s">
        <v>694</v>
      </c>
      <c r="I298" s="94"/>
    </row>
    <row r="299" spans="1:9" ht="15.75">
      <c r="A299" s="94" t="s">
        <v>695</v>
      </c>
      <c r="B299" s="96" t="s">
        <v>696</v>
      </c>
      <c r="C299" s="96"/>
      <c r="D299" s="96"/>
      <c r="E299" s="96"/>
      <c r="F299" s="131">
        <v>0.03</v>
      </c>
      <c r="G299" s="144">
        <v>0.04</v>
      </c>
      <c r="H299" s="131">
        <v>0.055</v>
      </c>
      <c r="I299" s="131">
        <v>0.04</v>
      </c>
    </row>
    <row r="300" spans="1:9" ht="15.75">
      <c r="A300" s="94"/>
      <c r="B300" s="99" t="s">
        <v>727</v>
      </c>
      <c r="C300" s="99"/>
      <c r="D300" s="99"/>
      <c r="E300" s="99"/>
      <c r="F300" s="131">
        <v>0.008</v>
      </c>
      <c r="G300" s="144">
        <v>0.008</v>
      </c>
      <c r="H300" s="131">
        <v>0.01</v>
      </c>
      <c r="I300" s="131">
        <v>0.008</v>
      </c>
    </row>
    <row r="301" spans="1:9" ht="15.75">
      <c r="A301" s="94"/>
      <c r="B301" s="99" t="s">
        <v>697</v>
      </c>
      <c r="C301" s="99"/>
      <c r="D301" s="99"/>
      <c r="E301" s="99"/>
      <c r="F301" s="131">
        <v>0.0097</v>
      </c>
      <c r="G301" s="144">
        <v>0.0127</v>
      </c>
      <c r="H301" s="131">
        <v>0.0127</v>
      </c>
      <c r="I301" s="131">
        <v>0.0127</v>
      </c>
    </row>
    <row r="302" spans="1:9" ht="15.75">
      <c r="A302" s="94"/>
      <c r="B302" s="100" t="s">
        <v>698</v>
      </c>
      <c r="C302" s="100"/>
      <c r="D302" s="100"/>
      <c r="E302" s="100"/>
      <c r="F302" s="100"/>
      <c r="G302" s="100"/>
      <c r="H302" s="100"/>
      <c r="I302" s="103">
        <v>0.0607</v>
      </c>
    </row>
    <row r="303" spans="1:9" ht="15.75">
      <c r="A303" s="94" t="s">
        <v>699</v>
      </c>
      <c r="B303" s="96" t="s">
        <v>700</v>
      </c>
      <c r="C303" s="96"/>
      <c r="D303" s="96"/>
      <c r="E303" s="96"/>
      <c r="F303" s="131">
        <v>0.0059</v>
      </c>
      <c r="G303" s="144">
        <v>0.0123</v>
      </c>
      <c r="H303" s="131">
        <v>0.0139</v>
      </c>
      <c r="I303" s="102">
        <v>0.0123</v>
      </c>
    </row>
    <row r="304" spans="1:9" ht="15.75">
      <c r="A304" s="94"/>
      <c r="B304" s="100" t="s">
        <v>698</v>
      </c>
      <c r="C304" s="100"/>
      <c r="D304" s="100"/>
      <c r="E304" s="100"/>
      <c r="F304" s="100"/>
      <c r="G304" s="100"/>
      <c r="H304" s="100"/>
      <c r="I304" s="103">
        <v>0.0123</v>
      </c>
    </row>
    <row r="305" spans="1:9" ht="15.75">
      <c r="A305" s="94" t="s">
        <v>701</v>
      </c>
      <c r="B305" s="96" t="s">
        <v>702</v>
      </c>
      <c r="C305" s="96"/>
      <c r="D305" s="96"/>
      <c r="E305" s="96"/>
      <c r="F305" s="131">
        <v>0.0616</v>
      </c>
      <c r="G305" s="144">
        <v>0.074</v>
      </c>
      <c r="H305" s="131">
        <v>0.0896</v>
      </c>
      <c r="I305" s="102">
        <v>0.074</v>
      </c>
    </row>
    <row r="306" spans="1:9" ht="15.75">
      <c r="A306" s="94"/>
      <c r="B306" s="100" t="s">
        <v>698</v>
      </c>
      <c r="C306" s="100"/>
      <c r="D306" s="100"/>
      <c r="E306" s="100"/>
      <c r="F306" s="100"/>
      <c r="G306" s="100"/>
      <c r="H306" s="100"/>
      <c r="I306" s="103">
        <v>0.074</v>
      </c>
    </row>
    <row r="307" spans="1:9" ht="15.75">
      <c r="A307" s="94" t="s">
        <v>703</v>
      </c>
      <c r="B307" s="101" t="s">
        <v>704</v>
      </c>
      <c r="C307" s="101"/>
      <c r="D307" s="101"/>
      <c r="E307" s="101"/>
      <c r="F307" s="101"/>
      <c r="G307" s="101"/>
      <c r="H307" s="101"/>
      <c r="I307" s="132"/>
    </row>
    <row r="308" spans="1:9" ht="15.75">
      <c r="A308" s="94"/>
      <c r="B308" s="99" t="s">
        <v>705</v>
      </c>
      <c r="C308" s="99"/>
      <c r="D308" s="99"/>
      <c r="E308" s="99"/>
      <c r="F308" s="102">
        <v>0.03</v>
      </c>
      <c r="G308" s="103">
        <v>0.03</v>
      </c>
      <c r="H308" s="102">
        <v>0.03</v>
      </c>
      <c r="I308" s="102">
        <v>0.03</v>
      </c>
    </row>
    <row r="309" spans="1:9" ht="15.75">
      <c r="A309" s="94"/>
      <c r="B309" s="99" t="s">
        <v>706</v>
      </c>
      <c r="C309" s="99"/>
      <c r="D309" s="99"/>
      <c r="E309" s="99"/>
      <c r="F309" s="102">
        <v>0.0065</v>
      </c>
      <c r="G309" s="103">
        <v>0.0065</v>
      </c>
      <c r="H309" s="102">
        <v>0.0065</v>
      </c>
      <c r="I309" s="102">
        <v>0.0065</v>
      </c>
    </row>
    <row r="310" spans="1:9" ht="15.75">
      <c r="A310" s="94"/>
      <c r="B310" s="99" t="s">
        <v>707</v>
      </c>
      <c r="C310" s="99"/>
      <c r="D310" s="99"/>
      <c r="E310" s="99"/>
      <c r="F310" s="104">
        <v>0.02</v>
      </c>
      <c r="G310" s="105">
        <v>0.035</v>
      </c>
      <c r="H310" s="104">
        <v>0.05</v>
      </c>
      <c r="I310" s="104">
        <v>0.025</v>
      </c>
    </row>
    <row r="311" spans="1:9" ht="15.75">
      <c r="A311" s="94"/>
      <c r="B311" s="99" t="s">
        <v>708</v>
      </c>
      <c r="C311" s="99"/>
      <c r="D311" s="99"/>
      <c r="E311" s="99"/>
      <c r="F311" s="102">
        <v>0.045</v>
      </c>
      <c r="G311" s="103">
        <v>0.045</v>
      </c>
      <c r="H311" s="102">
        <v>0.045</v>
      </c>
      <c r="I311" s="102">
        <v>0.045</v>
      </c>
    </row>
    <row r="312" spans="1:9" ht="15.75">
      <c r="A312" s="94"/>
      <c r="B312" s="100" t="s">
        <v>698</v>
      </c>
      <c r="C312" s="100"/>
      <c r="D312" s="100"/>
      <c r="E312" s="100"/>
      <c r="F312" s="100"/>
      <c r="G312" s="100"/>
      <c r="H312" s="100"/>
      <c r="I312" s="133">
        <v>0.1065</v>
      </c>
    </row>
    <row r="313" spans="1:9" ht="15.75">
      <c r="A313" s="106" t="s">
        <v>709</v>
      </c>
      <c r="B313" s="106"/>
      <c r="C313" s="106"/>
      <c r="D313" s="106"/>
      <c r="E313" s="106"/>
      <c r="F313" s="106"/>
      <c r="G313" s="106"/>
      <c r="H313" s="106"/>
      <c r="I313" s="134">
        <v>0.2907</v>
      </c>
    </row>
    <row r="314" spans="1:9" ht="15.75">
      <c r="A314" s="107"/>
      <c r="B314" s="107"/>
      <c r="C314" s="107"/>
      <c r="D314" s="107"/>
      <c r="E314" s="107"/>
      <c r="F314" s="108"/>
      <c r="G314" s="108"/>
      <c r="H314" s="107"/>
      <c r="I314" s="108"/>
    </row>
    <row r="315" spans="1:9" ht="15.75">
      <c r="A315" s="95" t="s">
        <v>710</v>
      </c>
      <c r="B315" s="95"/>
      <c r="C315" s="95"/>
      <c r="D315" s="95"/>
      <c r="E315" s="95"/>
      <c r="F315" s="95" t="s">
        <v>711</v>
      </c>
      <c r="G315" s="95"/>
      <c r="H315" s="95"/>
      <c r="I315" s="95"/>
    </row>
    <row r="316" spans="1:9" ht="15.75">
      <c r="A316" s="109" t="s">
        <v>712</v>
      </c>
      <c r="B316" s="110" t="s">
        <v>713</v>
      </c>
      <c r="C316" s="110"/>
      <c r="D316" s="110"/>
      <c r="E316" s="110"/>
      <c r="F316" s="111"/>
      <c r="G316" s="111"/>
      <c r="H316" s="111"/>
      <c r="I316" s="111"/>
    </row>
    <row r="317" spans="1:9" ht="15.75">
      <c r="A317" s="112" t="s">
        <v>714</v>
      </c>
      <c r="B317" s="110" t="s">
        <v>715</v>
      </c>
      <c r="C317" s="110"/>
      <c r="D317" s="110"/>
      <c r="E317" s="110"/>
      <c r="F317" s="111"/>
      <c r="G317" s="111"/>
      <c r="H317" s="111"/>
      <c r="I317" s="111"/>
    </row>
    <row r="318" spans="1:9" ht="15.75">
      <c r="A318" s="112" t="s">
        <v>716</v>
      </c>
      <c r="B318" s="110" t="s">
        <v>702</v>
      </c>
      <c r="C318" s="110"/>
      <c r="D318" s="110"/>
      <c r="E318" s="110"/>
      <c r="F318" s="111"/>
      <c r="G318" s="111"/>
      <c r="H318" s="111"/>
      <c r="I318" s="111"/>
    </row>
    <row r="319" spans="1:9" ht="15.75">
      <c r="A319" s="112" t="s">
        <v>717</v>
      </c>
      <c r="B319" s="110" t="s">
        <v>718</v>
      </c>
      <c r="C319" s="110"/>
      <c r="D319" s="110"/>
      <c r="E319" s="110"/>
      <c r="F319" s="111"/>
      <c r="G319" s="111"/>
      <c r="H319" s="111"/>
      <c r="I319" s="111"/>
    </row>
    <row r="320" spans="1:9" ht="15.75">
      <c r="A320" s="107"/>
      <c r="B320" s="107"/>
      <c r="C320" s="107"/>
      <c r="D320" s="107"/>
      <c r="E320" s="107"/>
      <c r="F320" s="111"/>
      <c r="G320" s="111"/>
      <c r="H320" s="111"/>
      <c r="I320" s="111"/>
    </row>
    <row r="321" spans="1:9" ht="15.75">
      <c r="A321" s="113" t="s">
        <v>719</v>
      </c>
      <c r="B321" s="114" t="s">
        <v>720</v>
      </c>
      <c r="C321" s="114" t="s">
        <v>721</v>
      </c>
      <c r="D321" s="114" t="s">
        <v>722</v>
      </c>
      <c r="E321" s="115" t="s">
        <v>723</v>
      </c>
      <c r="F321" s="108"/>
      <c r="G321" s="108"/>
      <c r="H321" s="107"/>
      <c r="I321" s="108"/>
    </row>
    <row r="322" spans="1:9" ht="15.75">
      <c r="A322" s="113"/>
      <c r="B322" s="116"/>
      <c r="C322" s="116" t="s">
        <v>724</v>
      </c>
      <c r="D322" s="116"/>
      <c r="E322" s="115"/>
      <c r="F322" s="108"/>
      <c r="G322" s="108"/>
      <c r="H322" s="107"/>
      <c r="I322" s="108"/>
    </row>
    <row r="323" spans="1:9" ht="15.75">
      <c r="A323" s="107"/>
      <c r="B323" s="107"/>
      <c r="C323" s="107"/>
      <c r="D323" s="107"/>
      <c r="E323" s="107"/>
      <c r="F323" s="108"/>
      <c r="G323" s="108"/>
      <c r="H323" s="107"/>
      <c r="I323" s="108"/>
    </row>
    <row r="324" spans="1:9" ht="15.75">
      <c r="A324" s="107"/>
      <c r="B324" s="107"/>
      <c r="C324" s="107"/>
      <c r="D324" s="107"/>
      <c r="E324" s="107"/>
      <c r="F324" s="108"/>
      <c r="G324" s="108"/>
      <c r="H324" s="107"/>
      <c r="I324" s="108"/>
    </row>
    <row r="325" spans="1:9" ht="15.75">
      <c r="A325" s="113" t="s">
        <v>719</v>
      </c>
      <c r="B325" s="117">
        <v>0.0607</v>
      </c>
      <c r="C325" s="117">
        <v>0.0123</v>
      </c>
      <c r="D325" s="118">
        <v>0.074</v>
      </c>
      <c r="E325" s="115" t="s">
        <v>723</v>
      </c>
      <c r="F325" s="108"/>
      <c r="G325" s="108"/>
      <c r="H325" s="107"/>
      <c r="I325" s="108"/>
    </row>
    <row r="326" spans="1:9" ht="15.75">
      <c r="A326" s="113"/>
      <c r="B326" s="116"/>
      <c r="C326" s="119">
        <v>0.1065</v>
      </c>
      <c r="D326" s="116"/>
      <c r="E326" s="115"/>
      <c r="F326" s="108"/>
      <c r="G326" s="108"/>
      <c r="H326" s="107"/>
      <c r="I326" s="108"/>
    </row>
    <row r="327" spans="1:9" ht="15.75">
      <c r="A327" s="107"/>
      <c r="B327" s="107"/>
      <c r="C327" s="107"/>
      <c r="D327" s="107"/>
      <c r="E327" s="107"/>
      <c r="F327" s="108"/>
      <c r="G327" s="108"/>
      <c r="H327" s="107"/>
      <c r="I327" s="108"/>
    </row>
    <row r="328" spans="1:9" ht="15.75">
      <c r="A328" s="107"/>
      <c r="B328" s="107"/>
      <c r="C328" s="107"/>
      <c r="D328" s="107"/>
      <c r="E328" s="107"/>
      <c r="F328" s="108"/>
      <c r="G328" s="108"/>
      <c r="H328" s="107"/>
      <c r="I328" s="108"/>
    </row>
    <row r="329" spans="1:9" ht="15.75">
      <c r="A329" s="113" t="s">
        <v>719</v>
      </c>
      <c r="B329" s="120">
        <v>1.0607</v>
      </c>
      <c r="C329" s="120">
        <v>1.0123</v>
      </c>
      <c r="D329" s="121">
        <v>1.074</v>
      </c>
      <c r="E329" s="115" t="s">
        <v>723</v>
      </c>
      <c r="F329" s="108"/>
      <c r="G329" s="108"/>
      <c r="H329" s="107"/>
      <c r="I329" s="108"/>
    </row>
    <row r="330" spans="1:9" ht="15.75">
      <c r="A330" s="113"/>
      <c r="B330" s="116"/>
      <c r="C330" s="122">
        <v>0.8935</v>
      </c>
      <c r="D330" s="116"/>
      <c r="E330" s="115"/>
      <c r="F330" s="108"/>
      <c r="G330" s="108"/>
      <c r="H330" s="107"/>
      <c r="I330" s="108"/>
    </row>
    <row r="331" spans="1:9" ht="15.75">
      <c r="A331" s="107"/>
      <c r="B331" s="107"/>
      <c r="C331" s="107"/>
      <c r="D331" s="107"/>
      <c r="E331" s="107"/>
      <c r="F331" s="108"/>
      <c r="G331" s="108"/>
      <c r="H331" s="107"/>
      <c r="I331" s="108"/>
    </row>
    <row r="332" spans="1:9" ht="15.75">
      <c r="A332" s="107"/>
      <c r="B332" s="107"/>
      <c r="C332" s="107"/>
      <c r="D332" s="107"/>
      <c r="E332" s="107"/>
      <c r="F332" s="108"/>
      <c r="G332" s="108"/>
      <c r="H332" s="107"/>
      <c r="I332" s="108"/>
    </row>
    <row r="333" spans="1:9" ht="15.75">
      <c r="A333" s="113" t="s">
        <v>719</v>
      </c>
      <c r="B333" s="121">
        <v>1.15320385914</v>
      </c>
      <c r="C333" s="123" t="s">
        <v>725</v>
      </c>
      <c r="D333" s="107"/>
      <c r="E333" s="107"/>
      <c r="F333" s="108"/>
      <c r="G333" s="108"/>
      <c r="H333" s="107"/>
      <c r="I333" s="108"/>
    </row>
    <row r="334" spans="1:9" ht="15.75">
      <c r="A334" s="113"/>
      <c r="B334" s="122">
        <v>0.8935</v>
      </c>
      <c r="C334" s="123"/>
      <c r="D334" s="107"/>
      <c r="E334" s="107"/>
      <c r="F334" s="108"/>
      <c r="G334" s="108"/>
      <c r="H334" s="107"/>
      <c r="I334" s="108"/>
    </row>
    <row r="335" spans="1:9" ht="15.75">
      <c r="A335" s="107"/>
      <c r="B335" s="107"/>
      <c r="C335" s="107"/>
      <c r="D335" s="107"/>
      <c r="E335" s="107"/>
      <c r="F335" s="108"/>
      <c r="G335" s="108"/>
      <c r="H335" s="107"/>
      <c r="I335" s="108"/>
    </row>
    <row r="336" spans="1:9" ht="15.75">
      <c r="A336" s="107"/>
      <c r="B336" s="107"/>
      <c r="C336" s="107"/>
      <c r="D336" s="107"/>
      <c r="E336" s="107"/>
      <c r="F336" s="108"/>
      <c r="G336" s="108"/>
      <c r="H336" s="107"/>
      <c r="I336" s="108"/>
    </row>
    <row r="337" spans="1:9" ht="15.75">
      <c r="A337" s="113" t="s">
        <v>719</v>
      </c>
      <c r="B337" s="124">
        <v>1.29065904772244</v>
      </c>
      <c r="C337" s="123" t="s">
        <v>725</v>
      </c>
      <c r="D337" s="107"/>
      <c r="E337" s="125" t="s">
        <v>719</v>
      </c>
      <c r="F337" s="126">
        <v>0.2907</v>
      </c>
      <c r="G337" s="108"/>
      <c r="H337" s="107"/>
      <c r="I337" s="108"/>
    </row>
    <row r="338" spans="1:9" ht="15.75">
      <c r="A338" s="113"/>
      <c r="B338" s="124"/>
      <c r="C338" s="123"/>
      <c r="D338" s="107"/>
      <c r="E338" s="125"/>
      <c r="F338" s="126"/>
      <c r="G338" s="108"/>
      <c r="H338" s="107"/>
      <c r="I338" s="108"/>
    </row>
    <row r="339" spans="1:9" ht="15.75">
      <c r="A339" s="107"/>
      <c r="B339" s="107"/>
      <c r="C339" s="107"/>
      <c r="D339" s="107"/>
      <c r="E339" s="107"/>
      <c r="F339" s="108"/>
      <c r="G339" s="108"/>
      <c r="H339" s="107"/>
      <c r="I339" s="108"/>
    </row>
    <row r="341" spans="1:9" ht="15.75">
      <c r="A341" s="92" t="s">
        <v>733</v>
      </c>
      <c r="B341" s="88"/>
      <c r="C341" s="88"/>
      <c r="D341" s="88"/>
      <c r="E341" s="88"/>
      <c r="F341" s="88"/>
      <c r="G341" s="88"/>
      <c r="H341" s="88"/>
      <c r="I341" s="129"/>
    </row>
    <row r="342" spans="1:9" ht="15.75">
      <c r="A342" s="127"/>
      <c r="B342" s="128"/>
      <c r="C342" s="128"/>
      <c r="D342" s="128"/>
      <c r="E342" s="128"/>
      <c r="F342" s="128"/>
      <c r="G342" s="128"/>
      <c r="H342" s="128"/>
      <c r="I342" s="135"/>
    </row>
    <row r="343" spans="1:9" ht="15.75">
      <c r="A343" s="93" t="s">
        <v>688</v>
      </c>
      <c r="B343" s="93"/>
      <c r="C343" s="93"/>
      <c r="D343" s="93"/>
      <c r="E343" s="93"/>
      <c r="F343" s="93"/>
      <c r="G343" s="93"/>
      <c r="H343" s="93"/>
      <c r="I343" s="93"/>
    </row>
    <row r="344" spans="1:9" ht="15.75">
      <c r="A344" s="107"/>
      <c r="B344" s="107"/>
      <c r="C344" s="107"/>
      <c r="D344" s="107"/>
      <c r="E344" s="107"/>
      <c r="F344" s="108"/>
      <c r="G344" s="108"/>
      <c r="H344" s="107"/>
      <c r="I344" s="108"/>
    </row>
    <row r="345" spans="1:9" ht="15.75">
      <c r="A345" s="94" t="s">
        <v>689</v>
      </c>
      <c r="B345" s="94"/>
      <c r="C345" s="94"/>
      <c r="D345" s="94"/>
      <c r="E345" s="94"/>
      <c r="F345" s="94" t="s">
        <v>690</v>
      </c>
      <c r="G345" s="94"/>
      <c r="H345" s="94"/>
      <c r="I345" s="94" t="s">
        <v>691</v>
      </c>
    </row>
    <row r="346" spans="1:9" ht="15.75">
      <c r="A346" s="94"/>
      <c r="B346" s="94"/>
      <c r="C346" s="94"/>
      <c r="D346" s="94"/>
      <c r="E346" s="94"/>
      <c r="F346" s="95" t="s">
        <v>692</v>
      </c>
      <c r="G346" s="95" t="s">
        <v>693</v>
      </c>
      <c r="H346" s="95" t="s">
        <v>694</v>
      </c>
      <c r="I346" s="94"/>
    </row>
    <row r="347" spans="1:9" ht="15.75">
      <c r="A347" s="94" t="s">
        <v>695</v>
      </c>
      <c r="B347" s="96" t="s">
        <v>696</v>
      </c>
      <c r="C347" s="96"/>
      <c r="D347" s="96"/>
      <c r="E347" s="96"/>
      <c r="F347" s="131">
        <v>0.03</v>
      </c>
      <c r="G347" s="144">
        <v>0.04</v>
      </c>
      <c r="H347" s="131">
        <v>0.055</v>
      </c>
      <c r="I347" s="131">
        <v>0.04</v>
      </c>
    </row>
    <row r="348" spans="1:9" ht="15.75">
      <c r="A348" s="94"/>
      <c r="B348" s="99" t="s">
        <v>727</v>
      </c>
      <c r="C348" s="99"/>
      <c r="D348" s="99"/>
      <c r="E348" s="99"/>
      <c r="F348" s="131">
        <v>0.008</v>
      </c>
      <c r="G348" s="144">
        <v>0.008</v>
      </c>
      <c r="H348" s="131">
        <v>0.01</v>
      </c>
      <c r="I348" s="131">
        <v>0.008</v>
      </c>
    </row>
    <row r="349" spans="1:9" ht="15.75">
      <c r="A349" s="94"/>
      <c r="B349" s="99" t="s">
        <v>697</v>
      </c>
      <c r="C349" s="99"/>
      <c r="D349" s="99"/>
      <c r="E349" s="99"/>
      <c r="F349" s="131">
        <v>0.0097</v>
      </c>
      <c r="G349" s="144">
        <v>0.0127</v>
      </c>
      <c r="H349" s="131">
        <v>0.0127</v>
      </c>
      <c r="I349" s="131">
        <v>0.0127</v>
      </c>
    </row>
    <row r="350" spans="1:9" ht="15.75">
      <c r="A350" s="94"/>
      <c r="B350" s="100" t="s">
        <v>698</v>
      </c>
      <c r="C350" s="100"/>
      <c r="D350" s="100"/>
      <c r="E350" s="100"/>
      <c r="F350" s="100"/>
      <c r="G350" s="100"/>
      <c r="H350" s="100"/>
      <c r="I350" s="103">
        <v>0.0607</v>
      </c>
    </row>
    <row r="351" spans="1:9" ht="15.75">
      <c r="A351" s="94" t="s">
        <v>699</v>
      </c>
      <c r="B351" s="96" t="s">
        <v>700</v>
      </c>
      <c r="C351" s="96"/>
      <c r="D351" s="96"/>
      <c r="E351" s="96"/>
      <c r="F351" s="131">
        <v>0.0059</v>
      </c>
      <c r="G351" s="144">
        <v>0.0123</v>
      </c>
      <c r="H351" s="131">
        <v>0.0139</v>
      </c>
      <c r="I351" s="102">
        <v>0.0123</v>
      </c>
    </row>
    <row r="352" spans="1:9" ht="15.75">
      <c r="A352" s="94"/>
      <c r="B352" s="100" t="s">
        <v>698</v>
      </c>
      <c r="C352" s="100"/>
      <c r="D352" s="100"/>
      <c r="E352" s="100"/>
      <c r="F352" s="100"/>
      <c r="G352" s="100"/>
      <c r="H352" s="100"/>
      <c r="I352" s="103">
        <v>0.0123</v>
      </c>
    </row>
    <row r="353" spans="1:9" ht="15.75">
      <c r="A353" s="94" t="s">
        <v>701</v>
      </c>
      <c r="B353" s="96" t="s">
        <v>702</v>
      </c>
      <c r="C353" s="96"/>
      <c r="D353" s="96"/>
      <c r="E353" s="96"/>
      <c r="F353" s="131">
        <v>0.0616</v>
      </c>
      <c r="G353" s="144">
        <v>0.074</v>
      </c>
      <c r="H353" s="131">
        <v>0.0896</v>
      </c>
      <c r="I353" s="102">
        <v>0.074</v>
      </c>
    </row>
    <row r="354" spans="1:9" ht="15.75">
      <c r="A354" s="94"/>
      <c r="B354" s="100" t="s">
        <v>698</v>
      </c>
      <c r="C354" s="100"/>
      <c r="D354" s="100"/>
      <c r="E354" s="100"/>
      <c r="F354" s="100"/>
      <c r="G354" s="100"/>
      <c r="H354" s="100"/>
      <c r="I354" s="103">
        <v>0.074</v>
      </c>
    </row>
    <row r="355" spans="1:9" ht="15.75">
      <c r="A355" s="94" t="s">
        <v>703</v>
      </c>
      <c r="B355" s="101" t="s">
        <v>704</v>
      </c>
      <c r="C355" s="101"/>
      <c r="D355" s="101"/>
      <c r="E355" s="101"/>
      <c r="F355" s="101"/>
      <c r="G355" s="101"/>
      <c r="H355" s="101"/>
      <c r="I355" s="132"/>
    </row>
    <row r="356" spans="1:9" ht="15.75">
      <c r="A356" s="94"/>
      <c r="B356" s="99" t="s">
        <v>705</v>
      </c>
      <c r="C356" s="99"/>
      <c r="D356" s="99"/>
      <c r="E356" s="99"/>
      <c r="F356" s="102">
        <v>0.03</v>
      </c>
      <c r="G356" s="103">
        <v>0.03</v>
      </c>
      <c r="H356" s="102">
        <v>0.03</v>
      </c>
      <c r="I356" s="102">
        <v>0.03</v>
      </c>
    </row>
    <row r="357" spans="1:9" ht="15.75">
      <c r="A357" s="94"/>
      <c r="B357" s="99" t="s">
        <v>706</v>
      </c>
      <c r="C357" s="99"/>
      <c r="D357" s="99"/>
      <c r="E357" s="99"/>
      <c r="F357" s="102">
        <v>0.0065</v>
      </c>
      <c r="G357" s="103">
        <v>0.0065</v>
      </c>
      <c r="H357" s="102">
        <v>0.0065</v>
      </c>
      <c r="I357" s="102">
        <v>0.0065</v>
      </c>
    </row>
    <row r="358" spans="1:9" ht="15.75">
      <c r="A358" s="94"/>
      <c r="B358" s="99" t="s">
        <v>707</v>
      </c>
      <c r="C358" s="99"/>
      <c r="D358" s="99"/>
      <c r="E358" s="99"/>
      <c r="F358" s="104">
        <v>0.02</v>
      </c>
      <c r="G358" s="105">
        <v>0.035</v>
      </c>
      <c r="H358" s="104">
        <v>0.05</v>
      </c>
      <c r="I358" s="104">
        <v>0.025</v>
      </c>
    </row>
    <row r="359" spans="1:9" ht="15.75">
      <c r="A359" s="94"/>
      <c r="B359" s="99" t="s">
        <v>708</v>
      </c>
      <c r="C359" s="99"/>
      <c r="D359" s="99"/>
      <c r="E359" s="99"/>
      <c r="F359" s="102">
        <v>0.045</v>
      </c>
      <c r="G359" s="103">
        <v>0.045</v>
      </c>
      <c r="H359" s="102">
        <v>0.045</v>
      </c>
      <c r="I359" s="102">
        <v>0.045</v>
      </c>
    </row>
    <row r="360" spans="1:9" ht="15.75">
      <c r="A360" s="94"/>
      <c r="B360" s="100" t="s">
        <v>698</v>
      </c>
      <c r="C360" s="100"/>
      <c r="D360" s="100"/>
      <c r="E360" s="100"/>
      <c r="F360" s="100"/>
      <c r="G360" s="100"/>
      <c r="H360" s="100"/>
      <c r="I360" s="133">
        <v>0.1065</v>
      </c>
    </row>
    <row r="361" spans="1:9" ht="15.75">
      <c r="A361" s="106" t="s">
        <v>709</v>
      </c>
      <c r="B361" s="106"/>
      <c r="C361" s="106"/>
      <c r="D361" s="106"/>
      <c r="E361" s="106"/>
      <c r="F361" s="106"/>
      <c r="G361" s="106"/>
      <c r="H361" s="106"/>
      <c r="I361" s="134">
        <v>0.2907</v>
      </c>
    </row>
    <row r="362" spans="1:9" ht="15.75">
      <c r="A362" s="107"/>
      <c r="B362" s="107"/>
      <c r="C362" s="107"/>
      <c r="D362" s="107"/>
      <c r="E362" s="107"/>
      <c r="F362" s="108"/>
      <c r="G362" s="108"/>
      <c r="H362" s="107"/>
      <c r="I362" s="108"/>
    </row>
    <row r="363" spans="1:9" ht="15.75">
      <c r="A363" s="95" t="s">
        <v>710</v>
      </c>
      <c r="B363" s="95"/>
      <c r="C363" s="95"/>
      <c r="D363" s="95"/>
      <c r="E363" s="95"/>
      <c r="F363" s="95" t="s">
        <v>711</v>
      </c>
      <c r="G363" s="95"/>
      <c r="H363" s="95"/>
      <c r="I363" s="95"/>
    </row>
    <row r="364" spans="1:9" ht="15.75">
      <c r="A364" s="109" t="s">
        <v>712</v>
      </c>
      <c r="B364" s="110" t="s">
        <v>713</v>
      </c>
      <c r="C364" s="110"/>
      <c r="D364" s="110"/>
      <c r="E364" s="110"/>
      <c r="F364" s="111"/>
      <c r="G364" s="111"/>
      <c r="H364" s="111"/>
      <c r="I364" s="111"/>
    </row>
    <row r="365" spans="1:9" ht="15.75">
      <c r="A365" s="112" t="s">
        <v>714</v>
      </c>
      <c r="B365" s="110" t="s">
        <v>715</v>
      </c>
      <c r="C365" s="110"/>
      <c r="D365" s="110"/>
      <c r="E365" s="110"/>
      <c r="F365" s="111"/>
      <c r="G365" s="111"/>
      <c r="H365" s="111"/>
      <c r="I365" s="111"/>
    </row>
    <row r="366" spans="1:9" ht="15.75">
      <c r="A366" s="112" t="s">
        <v>716</v>
      </c>
      <c r="B366" s="110" t="s">
        <v>702</v>
      </c>
      <c r="C366" s="110"/>
      <c r="D366" s="110"/>
      <c r="E366" s="110"/>
      <c r="F366" s="111"/>
      <c r="G366" s="111"/>
      <c r="H366" s="111"/>
      <c r="I366" s="111"/>
    </row>
    <row r="367" spans="1:9" ht="15.75">
      <c r="A367" s="112" t="s">
        <v>717</v>
      </c>
      <c r="B367" s="110" t="s">
        <v>718</v>
      </c>
      <c r="C367" s="110"/>
      <c r="D367" s="110"/>
      <c r="E367" s="110"/>
      <c r="F367" s="111"/>
      <c r="G367" s="111"/>
      <c r="H367" s="111"/>
      <c r="I367" s="111"/>
    </row>
    <row r="368" spans="1:9" ht="15.75">
      <c r="A368" s="107"/>
      <c r="B368" s="107"/>
      <c r="C368" s="107"/>
      <c r="D368" s="107"/>
      <c r="E368" s="107"/>
      <c r="F368" s="111"/>
      <c r="G368" s="111"/>
      <c r="H368" s="111"/>
      <c r="I368" s="111"/>
    </row>
    <row r="369" spans="1:9" ht="15.75">
      <c r="A369" s="113" t="s">
        <v>719</v>
      </c>
      <c r="B369" s="114" t="s">
        <v>720</v>
      </c>
      <c r="C369" s="114" t="s">
        <v>721</v>
      </c>
      <c r="D369" s="114" t="s">
        <v>722</v>
      </c>
      <c r="E369" s="115" t="s">
        <v>723</v>
      </c>
      <c r="F369" s="108"/>
      <c r="G369" s="108"/>
      <c r="H369" s="107"/>
      <c r="I369" s="108"/>
    </row>
    <row r="370" spans="1:9" ht="15.75">
      <c r="A370" s="113"/>
      <c r="B370" s="116"/>
      <c r="C370" s="116" t="s">
        <v>724</v>
      </c>
      <c r="D370" s="116"/>
      <c r="E370" s="115"/>
      <c r="F370" s="108"/>
      <c r="G370" s="108"/>
      <c r="H370" s="107"/>
      <c r="I370" s="108"/>
    </row>
    <row r="371" spans="1:9" ht="15.75">
      <c r="A371" s="107"/>
      <c r="B371" s="107"/>
      <c r="C371" s="107"/>
      <c r="D371" s="107"/>
      <c r="E371" s="107"/>
      <c r="F371" s="108"/>
      <c r="G371" s="108"/>
      <c r="H371" s="107"/>
      <c r="I371" s="108"/>
    </row>
    <row r="372" spans="1:9" ht="15.75">
      <c r="A372" s="107"/>
      <c r="B372" s="107"/>
      <c r="C372" s="107"/>
      <c r="D372" s="107"/>
      <c r="E372" s="107"/>
      <c r="F372" s="108"/>
      <c r="G372" s="108"/>
      <c r="H372" s="107"/>
      <c r="I372" s="108"/>
    </row>
    <row r="373" spans="1:9" ht="15.75">
      <c r="A373" s="113" t="s">
        <v>719</v>
      </c>
      <c r="B373" s="117">
        <v>0.0607</v>
      </c>
      <c r="C373" s="117">
        <v>0.0123</v>
      </c>
      <c r="D373" s="118">
        <v>0.074</v>
      </c>
      <c r="E373" s="115" t="s">
        <v>723</v>
      </c>
      <c r="F373" s="108"/>
      <c r="G373" s="108"/>
      <c r="H373" s="107"/>
      <c r="I373" s="108"/>
    </row>
    <row r="374" spans="1:9" ht="15.75">
      <c r="A374" s="113"/>
      <c r="B374" s="116"/>
      <c r="C374" s="119">
        <v>0.1065</v>
      </c>
      <c r="D374" s="116"/>
      <c r="E374" s="115"/>
      <c r="F374" s="108"/>
      <c r="G374" s="108"/>
      <c r="H374" s="107"/>
      <c r="I374" s="108"/>
    </row>
    <row r="375" spans="1:9" ht="15.75">
      <c r="A375" s="107"/>
      <c r="B375" s="107"/>
      <c r="C375" s="107"/>
      <c r="D375" s="107"/>
      <c r="E375" s="107"/>
      <c r="F375" s="108"/>
      <c r="G375" s="108"/>
      <c r="H375" s="107"/>
      <c r="I375" s="108"/>
    </row>
    <row r="376" spans="1:9" ht="15.75">
      <c r="A376" s="107"/>
      <c r="B376" s="107"/>
      <c r="C376" s="107"/>
      <c r="D376" s="107"/>
      <c r="E376" s="107"/>
      <c r="F376" s="108"/>
      <c r="G376" s="108"/>
      <c r="H376" s="107"/>
      <c r="I376" s="108"/>
    </row>
    <row r="377" spans="1:9" ht="15.75">
      <c r="A377" s="113" t="s">
        <v>719</v>
      </c>
      <c r="B377" s="120">
        <v>1.0607</v>
      </c>
      <c r="C377" s="120">
        <v>1.0123</v>
      </c>
      <c r="D377" s="121">
        <v>1.074</v>
      </c>
      <c r="E377" s="115" t="s">
        <v>723</v>
      </c>
      <c r="F377" s="108"/>
      <c r="G377" s="108"/>
      <c r="H377" s="107"/>
      <c r="I377" s="108"/>
    </row>
    <row r="378" spans="1:9" ht="15.75">
      <c r="A378" s="113"/>
      <c r="B378" s="116"/>
      <c r="C378" s="122">
        <v>0.8935</v>
      </c>
      <c r="D378" s="116"/>
      <c r="E378" s="115"/>
      <c r="F378" s="108"/>
      <c r="G378" s="108"/>
      <c r="H378" s="107"/>
      <c r="I378" s="108"/>
    </row>
    <row r="379" spans="1:9" ht="15.75">
      <c r="A379" s="107"/>
      <c r="B379" s="107"/>
      <c r="C379" s="107"/>
      <c r="D379" s="107"/>
      <c r="E379" s="107"/>
      <c r="F379" s="108"/>
      <c r="G379" s="108"/>
      <c r="H379" s="107"/>
      <c r="I379" s="108"/>
    </row>
    <row r="380" spans="1:9" ht="15.75">
      <c r="A380" s="107"/>
      <c r="B380" s="107"/>
      <c r="C380" s="107"/>
      <c r="D380" s="107"/>
      <c r="E380" s="107"/>
      <c r="F380" s="108"/>
      <c r="G380" s="108"/>
      <c r="H380" s="107"/>
      <c r="I380" s="108"/>
    </row>
    <row r="381" spans="1:9" ht="15.75">
      <c r="A381" s="113" t="s">
        <v>719</v>
      </c>
      <c r="B381" s="121">
        <v>1.15320385914</v>
      </c>
      <c r="C381" s="123" t="s">
        <v>725</v>
      </c>
      <c r="D381" s="107"/>
      <c r="E381" s="107"/>
      <c r="F381" s="108"/>
      <c r="G381" s="108"/>
      <c r="H381" s="107"/>
      <c r="I381" s="108"/>
    </row>
    <row r="382" spans="1:9" ht="15.75">
      <c r="A382" s="113"/>
      <c r="B382" s="122">
        <v>0.8935</v>
      </c>
      <c r="C382" s="123"/>
      <c r="D382" s="107"/>
      <c r="E382" s="107"/>
      <c r="F382" s="108"/>
      <c r="G382" s="108"/>
      <c r="H382" s="107"/>
      <c r="I382" s="108"/>
    </row>
    <row r="383" spans="1:9" ht="15.75">
      <c r="A383" s="107"/>
      <c r="B383" s="107"/>
      <c r="C383" s="107"/>
      <c r="D383" s="107"/>
      <c r="E383" s="107"/>
      <c r="F383" s="108"/>
      <c r="G383" s="108"/>
      <c r="H383" s="107"/>
      <c r="I383" s="108"/>
    </row>
    <row r="384" spans="1:9" ht="15.75">
      <c r="A384" s="107"/>
      <c r="B384" s="107"/>
      <c r="C384" s="107"/>
      <c r="D384" s="107"/>
      <c r="E384" s="107"/>
      <c r="F384" s="108"/>
      <c r="G384" s="108"/>
      <c r="H384" s="107"/>
      <c r="I384" s="108"/>
    </row>
    <row r="385" spans="1:9" ht="15.75">
      <c r="A385" s="113" t="s">
        <v>719</v>
      </c>
      <c r="B385" s="124">
        <v>1.29065904772244</v>
      </c>
      <c r="C385" s="123" t="s">
        <v>725</v>
      </c>
      <c r="D385" s="107"/>
      <c r="E385" s="125" t="s">
        <v>719</v>
      </c>
      <c r="F385" s="126">
        <v>0.2907</v>
      </c>
      <c r="G385" s="108"/>
      <c r="H385" s="107"/>
      <c r="I385" s="108"/>
    </row>
    <row r="386" spans="1:9" ht="15.75">
      <c r="A386" s="113"/>
      <c r="B386" s="124"/>
      <c r="C386" s="123"/>
      <c r="D386" s="107"/>
      <c r="E386" s="125"/>
      <c r="F386" s="126"/>
      <c r="G386" s="108"/>
      <c r="H386" s="107"/>
      <c r="I386" s="108"/>
    </row>
    <row r="387" spans="1:9" ht="15.75">
      <c r="A387" s="107"/>
      <c r="B387" s="107"/>
      <c r="C387" s="107"/>
      <c r="D387" s="107"/>
      <c r="E387" s="107"/>
      <c r="F387" s="108"/>
      <c r="G387" s="108"/>
      <c r="H387" s="107"/>
      <c r="I387" s="108"/>
    </row>
    <row r="388" spans="1:9" ht="15.75">
      <c r="A388" s="136" t="s">
        <v>734</v>
      </c>
      <c r="B388" s="136"/>
      <c r="C388" s="136"/>
      <c r="D388" s="136"/>
      <c r="E388" s="136"/>
      <c r="F388" s="136"/>
      <c r="G388" s="136"/>
      <c r="H388" s="136"/>
      <c r="I388" s="136"/>
    </row>
    <row r="389" spans="1:9" ht="15.75">
      <c r="A389" s="136" t="s">
        <v>735</v>
      </c>
      <c r="B389" s="136"/>
      <c r="C389" s="136"/>
      <c r="D389" s="136"/>
      <c r="E389" s="136"/>
      <c r="F389" s="136"/>
      <c r="G389" s="136"/>
      <c r="H389" s="136"/>
      <c r="I389" s="136"/>
    </row>
    <row r="390" spans="1:9" ht="12.75">
      <c r="A390" s="137" t="s">
        <v>736</v>
      </c>
      <c r="B390" s="137"/>
      <c r="C390" s="137"/>
      <c r="D390" s="137"/>
      <c r="E390" s="137"/>
      <c r="F390" s="137"/>
      <c r="G390" s="137"/>
      <c r="H390" s="137"/>
      <c r="I390" s="137"/>
    </row>
    <row r="391" spans="1:9" ht="12.75">
      <c r="A391" s="137"/>
      <c r="B391" s="137"/>
      <c r="C391" s="137"/>
      <c r="D391" s="137"/>
      <c r="E391" s="137"/>
      <c r="F391" s="137"/>
      <c r="G391" s="137"/>
      <c r="H391" s="137"/>
      <c r="I391" s="137"/>
    </row>
  </sheetData>
  <sheetProtection/>
  <mergeCells count="354">
    <mergeCell ref="A1:I1"/>
    <mergeCell ref="A2:I2"/>
    <mergeCell ref="A3:I3"/>
    <mergeCell ref="A4:I4"/>
    <mergeCell ref="A5:I5"/>
    <mergeCell ref="A6:I6"/>
    <mergeCell ref="A7:I7"/>
    <mergeCell ref="A8:I8"/>
    <mergeCell ref="F9:H9"/>
    <mergeCell ref="B11:E11"/>
    <mergeCell ref="B12:E12"/>
    <mergeCell ref="B13:E13"/>
    <mergeCell ref="B14:H14"/>
    <mergeCell ref="B15:E15"/>
    <mergeCell ref="B16:H16"/>
    <mergeCell ref="B17:E17"/>
    <mergeCell ref="B18:H18"/>
    <mergeCell ref="B19:H19"/>
    <mergeCell ref="B20:E20"/>
    <mergeCell ref="B21:E21"/>
    <mergeCell ref="B22:E22"/>
    <mergeCell ref="B23:E23"/>
    <mergeCell ref="B24:H24"/>
    <mergeCell ref="A25:H25"/>
    <mergeCell ref="A27:E27"/>
    <mergeCell ref="F27:I27"/>
    <mergeCell ref="B28:E28"/>
    <mergeCell ref="B29:E29"/>
    <mergeCell ref="B30:E30"/>
    <mergeCell ref="B31:E31"/>
    <mergeCell ref="A53:I53"/>
    <mergeCell ref="A55:I55"/>
    <mergeCell ref="F57:H57"/>
    <mergeCell ref="B59:E59"/>
    <mergeCell ref="B60:E60"/>
    <mergeCell ref="B61:E61"/>
    <mergeCell ref="B62:H62"/>
    <mergeCell ref="B63:E63"/>
    <mergeCell ref="B64:H64"/>
    <mergeCell ref="B65:E65"/>
    <mergeCell ref="B66:H66"/>
    <mergeCell ref="B67:H67"/>
    <mergeCell ref="B68:E68"/>
    <mergeCell ref="B69:E69"/>
    <mergeCell ref="B70:E70"/>
    <mergeCell ref="B71:E71"/>
    <mergeCell ref="B72:H72"/>
    <mergeCell ref="A73:H73"/>
    <mergeCell ref="A75:E75"/>
    <mergeCell ref="F75:I75"/>
    <mergeCell ref="B76:E76"/>
    <mergeCell ref="B77:E77"/>
    <mergeCell ref="B78:E78"/>
    <mergeCell ref="B79:E79"/>
    <mergeCell ref="A100:I100"/>
    <mergeCell ref="A101:I101"/>
    <mergeCell ref="A103:I103"/>
    <mergeCell ref="F105:H105"/>
    <mergeCell ref="B107:E107"/>
    <mergeCell ref="B108:E108"/>
    <mergeCell ref="B109:E109"/>
    <mergeCell ref="B110:H110"/>
    <mergeCell ref="B111:E111"/>
    <mergeCell ref="B112:H112"/>
    <mergeCell ref="B113:E113"/>
    <mergeCell ref="B114:H114"/>
    <mergeCell ref="B115:H115"/>
    <mergeCell ref="B116:E116"/>
    <mergeCell ref="B117:E117"/>
    <mergeCell ref="B118:E118"/>
    <mergeCell ref="B119:E119"/>
    <mergeCell ref="B120:H120"/>
    <mergeCell ref="A121:H121"/>
    <mergeCell ref="A123:E123"/>
    <mergeCell ref="F123:I123"/>
    <mergeCell ref="B124:E124"/>
    <mergeCell ref="B125:E125"/>
    <mergeCell ref="B126:E126"/>
    <mergeCell ref="B127:E127"/>
    <mergeCell ref="A149:I149"/>
    <mergeCell ref="A151:I151"/>
    <mergeCell ref="F153:H153"/>
    <mergeCell ref="B155:E155"/>
    <mergeCell ref="B156:E156"/>
    <mergeCell ref="B157:E157"/>
    <mergeCell ref="B158:H158"/>
    <mergeCell ref="B159:E159"/>
    <mergeCell ref="B160:H160"/>
    <mergeCell ref="B161:E161"/>
    <mergeCell ref="B162:H162"/>
    <mergeCell ref="B163:H163"/>
    <mergeCell ref="B164:E164"/>
    <mergeCell ref="B165:E165"/>
    <mergeCell ref="B166:E166"/>
    <mergeCell ref="B167:E167"/>
    <mergeCell ref="B168:H168"/>
    <mergeCell ref="A169:H169"/>
    <mergeCell ref="A171:E171"/>
    <mergeCell ref="F171:I171"/>
    <mergeCell ref="B172:E172"/>
    <mergeCell ref="B173:E173"/>
    <mergeCell ref="B174:E174"/>
    <mergeCell ref="B175:E175"/>
    <mergeCell ref="A197:I197"/>
    <mergeCell ref="A199:I199"/>
    <mergeCell ref="F201:H201"/>
    <mergeCell ref="B203:E203"/>
    <mergeCell ref="B204:E204"/>
    <mergeCell ref="B205:E205"/>
    <mergeCell ref="B206:H206"/>
    <mergeCell ref="B207:E207"/>
    <mergeCell ref="B208:H208"/>
    <mergeCell ref="B209:E209"/>
    <mergeCell ref="B210:H210"/>
    <mergeCell ref="B211:H211"/>
    <mergeCell ref="B212:E212"/>
    <mergeCell ref="B213:E213"/>
    <mergeCell ref="B214:E214"/>
    <mergeCell ref="B215:E215"/>
    <mergeCell ref="B216:H216"/>
    <mergeCell ref="A217:H217"/>
    <mergeCell ref="A219:E219"/>
    <mergeCell ref="F219:I219"/>
    <mergeCell ref="B220:E220"/>
    <mergeCell ref="B221:E221"/>
    <mergeCell ref="B222:E222"/>
    <mergeCell ref="B223:E223"/>
    <mergeCell ref="A245:I245"/>
    <mergeCell ref="A247:I247"/>
    <mergeCell ref="F249:H249"/>
    <mergeCell ref="B251:E251"/>
    <mergeCell ref="B252:E252"/>
    <mergeCell ref="B253:E253"/>
    <mergeCell ref="B254:H254"/>
    <mergeCell ref="B255:E255"/>
    <mergeCell ref="B256:H256"/>
    <mergeCell ref="B257:E257"/>
    <mergeCell ref="B258:H258"/>
    <mergeCell ref="B259:H259"/>
    <mergeCell ref="B260:E260"/>
    <mergeCell ref="B261:E261"/>
    <mergeCell ref="B262:E262"/>
    <mergeCell ref="B263:E263"/>
    <mergeCell ref="B264:H264"/>
    <mergeCell ref="A265:H265"/>
    <mergeCell ref="A267:E267"/>
    <mergeCell ref="F267:I267"/>
    <mergeCell ref="B268:E268"/>
    <mergeCell ref="B269:E269"/>
    <mergeCell ref="B270:E270"/>
    <mergeCell ref="B271:E271"/>
    <mergeCell ref="A293:I293"/>
    <mergeCell ref="A295:I295"/>
    <mergeCell ref="F297:H297"/>
    <mergeCell ref="B299:E299"/>
    <mergeCell ref="B300:E300"/>
    <mergeCell ref="B301:E301"/>
    <mergeCell ref="B302:H302"/>
    <mergeCell ref="B303:E303"/>
    <mergeCell ref="B304:H304"/>
    <mergeCell ref="B305:E305"/>
    <mergeCell ref="B306:H306"/>
    <mergeCell ref="B307:H307"/>
    <mergeCell ref="B308:E308"/>
    <mergeCell ref="B309:E309"/>
    <mergeCell ref="B310:E310"/>
    <mergeCell ref="B311:E311"/>
    <mergeCell ref="B312:H312"/>
    <mergeCell ref="A313:H313"/>
    <mergeCell ref="A315:E315"/>
    <mergeCell ref="F315:I315"/>
    <mergeCell ref="B316:E316"/>
    <mergeCell ref="B317:E317"/>
    <mergeCell ref="B318:E318"/>
    <mergeCell ref="B319:E319"/>
    <mergeCell ref="A341:I341"/>
    <mergeCell ref="A343:I343"/>
    <mergeCell ref="F345:H345"/>
    <mergeCell ref="B347:E347"/>
    <mergeCell ref="B348:E348"/>
    <mergeCell ref="B349:E349"/>
    <mergeCell ref="B350:H350"/>
    <mergeCell ref="B351:E351"/>
    <mergeCell ref="B352:H352"/>
    <mergeCell ref="B353:E353"/>
    <mergeCell ref="B354:H354"/>
    <mergeCell ref="B355:H355"/>
    <mergeCell ref="B356:E356"/>
    <mergeCell ref="B357:E357"/>
    <mergeCell ref="B358:E358"/>
    <mergeCell ref="B359:E359"/>
    <mergeCell ref="B360:H360"/>
    <mergeCell ref="A361:H361"/>
    <mergeCell ref="A363:E363"/>
    <mergeCell ref="F363:I363"/>
    <mergeCell ref="B364:E364"/>
    <mergeCell ref="B365:E365"/>
    <mergeCell ref="B366:E366"/>
    <mergeCell ref="B367:E367"/>
    <mergeCell ref="A388:I388"/>
    <mergeCell ref="A389:I389"/>
    <mergeCell ref="A11:A14"/>
    <mergeCell ref="A15:A16"/>
    <mergeCell ref="A17:A18"/>
    <mergeCell ref="A19:A24"/>
    <mergeCell ref="A33:A34"/>
    <mergeCell ref="A37:A38"/>
    <mergeCell ref="A41:A42"/>
    <mergeCell ref="A45:A46"/>
    <mergeCell ref="A49:A50"/>
    <mergeCell ref="A59:A62"/>
    <mergeCell ref="A63:A64"/>
    <mergeCell ref="A65:A66"/>
    <mergeCell ref="A67:A72"/>
    <mergeCell ref="A81:A82"/>
    <mergeCell ref="A85:A86"/>
    <mergeCell ref="A89:A90"/>
    <mergeCell ref="A93:A94"/>
    <mergeCell ref="A97:A98"/>
    <mergeCell ref="A107:A110"/>
    <mergeCell ref="A111:A112"/>
    <mergeCell ref="A113:A114"/>
    <mergeCell ref="A115:A120"/>
    <mergeCell ref="A129:A130"/>
    <mergeCell ref="A133:A134"/>
    <mergeCell ref="A137:A138"/>
    <mergeCell ref="A141:A142"/>
    <mergeCell ref="A145:A146"/>
    <mergeCell ref="A155:A158"/>
    <mergeCell ref="A159:A160"/>
    <mergeCell ref="A161:A162"/>
    <mergeCell ref="A163:A168"/>
    <mergeCell ref="A177:A178"/>
    <mergeCell ref="A181:A182"/>
    <mergeCell ref="A185:A186"/>
    <mergeCell ref="A189:A190"/>
    <mergeCell ref="A193:A194"/>
    <mergeCell ref="A203:A206"/>
    <mergeCell ref="A207:A208"/>
    <mergeCell ref="A209:A210"/>
    <mergeCell ref="A211:A216"/>
    <mergeCell ref="A225:A226"/>
    <mergeCell ref="A229:A230"/>
    <mergeCell ref="A233:A234"/>
    <mergeCell ref="A237:A238"/>
    <mergeCell ref="A241:A242"/>
    <mergeCell ref="A251:A254"/>
    <mergeCell ref="A255:A256"/>
    <mergeCell ref="A257:A258"/>
    <mergeCell ref="A259:A264"/>
    <mergeCell ref="A273:A274"/>
    <mergeCell ref="A277:A278"/>
    <mergeCell ref="A281:A282"/>
    <mergeCell ref="A285:A286"/>
    <mergeCell ref="A289:A290"/>
    <mergeCell ref="A299:A302"/>
    <mergeCell ref="A303:A304"/>
    <mergeCell ref="A305:A306"/>
    <mergeCell ref="A307:A312"/>
    <mergeCell ref="A321:A322"/>
    <mergeCell ref="A325:A326"/>
    <mergeCell ref="A329:A330"/>
    <mergeCell ref="A333:A334"/>
    <mergeCell ref="A337:A338"/>
    <mergeCell ref="A347:A350"/>
    <mergeCell ref="A351:A352"/>
    <mergeCell ref="A353:A354"/>
    <mergeCell ref="A355:A360"/>
    <mergeCell ref="A369:A370"/>
    <mergeCell ref="A373:A374"/>
    <mergeCell ref="A377:A378"/>
    <mergeCell ref="A381:A382"/>
    <mergeCell ref="A385:A386"/>
    <mergeCell ref="B49:B50"/>
    <mergeCell ref="B97:B98"/>
    <mergeCell ref="B145:B146"/>
    <mergeCell ref="B193:B194"/>
    <mergeCell ref="B241:B242"/>
    <mergeCell ref="B289:B290"/>
    <mergeCell ref="B337:B338"/>
    <mergeCell ref="B385:B386"/>
    <mergeCell ref="C45:C46"/>
    <mergeCell ref="C49:C50"/>
    <mergeCell ref="C93:C94"/>
    <mergeCell ref="C97:C98"/>
    <mergeCell ref="C141:C142"/>
    <mergeCell ref="C145:C146"/>
    <mergeCell ref="C189:C190"/>
    <mergeCell ref="C193:C194"/>
    <mergeCell ref="C237:C238"/>
    <mergeCell ref="C241:C242"/>
    <mergeCell ref="C285:C286"/>
    <mergeCell ref="C289:C290"/>
    <mergeCell ref="C333:C334"/>
    <mergeCell ref="C337:C338"/>
    <mergeCell ref="C381:C382"/>
    <mergeCell ref="C385:C386"/>
    <mergeCell ref="E33:E34"/>
    <mergeCell ref="E37:E38"/>
    <mergeCell ref="E41:E42"/>
    <mergeCell ref="E49:E50"/>
    <mergeCell ref="E81:E82"/>
    <mergeCell ref="E85:E86"/>
    <mergeCell ref="E89:E90"/>
    <mergeCell ref="E97:E98"/>
    <mergeCell ref="E129:E130"/>
    <mergeCell ref="E133:E134"/>
    <mergeCell ref="E137:E138"/>
    <mergeCell ref="E145:E146"/>
    <mergeCell ref="E177:E178"/>
    <mergeCell ref="E181:E182"/>
    <mergeCell ref="E185:E186"/>
    <mergeCell ref="E193:E194"/>
    <mergeCell ref="E225:E226"/>
    <mergeCell ref="E229:E230"/>
    <mergeCell ref="E233:E234"/>
    <mergeCell ref="E241:E242"/>
    <mergeCell ref="E273:E274"/>
    <mergeCell ref="E277:E278"/>
    <mergeCell ref="E281:E282"/>
    <mergeCell ref="E289:E290"/>
    <mergeCell ref="E321:E322"/>
    <mergeCell ref="E325:E326"/>
    <mergeCell ref="E329:E330"/>
    <mergeCell ref="E337:E338"/>
    <mergeCell ref="E369:E370"/>
    <mergeCell ref="E373:E374"/>
    <mergeCell ref="E377:E378"/>
    <mergeCell ref="E385:E386"/>
    <mergeCell ref="F49:F50"/>
    <mergeCell ref="F97:F98"/>
    <mergeCell ref="F145:F146"/>
    <mergeCell ref="F193:F194"/>
    <mergeCell ref="F241:F242"/>
    <mergeCell ref="F289:F290"/>
    <mergeCell ref="F337:F338"/>
    <mergeCell ref="F385:F386"/>
    <mergeCell ref="I9:I10"/>
    <mergeCell ref="I57:I58"/>
    <mergeCell ref="I105:I106"/>
    <mergeCell ref="I153:I154"/>
    <mergeCell ref="I201:I202"/>
    <mergeCell ref="I249:I250"/>
    <mergeCell ref="I297:I298"/>
    <mergeCell ref="I345:I346"/>
    <mergeCell ref="A345:E346"/>
    <mergeCell ref="A390:I391"/>
    <mergeCell ref="A297:E298"/>
    <mergeCell ref="A249:E250"/>
    <mergeCell ref="A201:E202"/>
    <mergeCell ref="A153:E154"/>
    <mergeCell ref="A105:E106"/>
    <mergeCell ref="A57:E58"/>
    <mergeCell ref="A9:E10"/>
  </mergeCells>
  <printOptions/>
  <pageMargins left="1.18" right="0.79" top="1.18" bottom="0.79" header="0" footer="0.51"/>
  <pageSetup horizontalDpi="600" verticalDpi="600" orientation="portrait" paperSize="9" scale="62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6"/>
  <sheetViews>
    <sheetView view="pageBreakPreview" zoomScaleSheetLayoutView="100" workbookViewId="0" topLeftCell="A1">
      <selection activeCell="A3" sqref="A3:I3"/>
    </sheetView>
  </sheetViews>
  <sheetFormatPr defaultColWidth="9.140625" defaultRowHeight="12.75"/>
  <cols>
    <col min="1" max="1" width="9.140625" style="86" customWidth="1"/>
    <col min="2" max="2" width="21.57421875" style="86" customWidth="1"/>
    <col min="3" max="3" width="21.421875" style="86" customWidth="1"/>
    <col min="4" max="4" width="19.7109375" style="86" customWidth="1"/>
    <col min="5" max="5" width="10.8515625" style="86" customWidth="1"/>
    <col min="6" max="7" width="13.8515625" style="86" customWidth="1"/>
    <col min="8" max="8" width="12.8515625" style="86" customWidth="1"/>
    <col min="9" max="9" width="13.7109375" style="86" customWidth="1"/>
  </cols>
  <sheetData>
    <row r="1" spans="1:9" ht="15.75">
      <c r="A1" s="87" t="s">
        <v>737</v>
      </c>
      <c r="B1" s="88"/>
      <c r="C1" s="88"/>
      <c r="D1" s="88"/>
      <c r="E1" s="88"/>
      <c r="F1" s="88"/>
      <c r="G1" s="88"/>
      <c r="H1" s="88"/>
      <c r="I1" s="129"/>
    </row>
    <row r="2" spans="1:9" ht="15.75">
      <c r="A2" s="89"/>
      <c r="B2" s="89"/>
      <c r="C2" s="89"/>
      <c r="D2" s="89"/>
      <c r="E2" s="89"/>
      <c r="F2" s="89"/>
      <c r="G2" s="89"/>
      <c r="H2" s="89"/>
      <c r="I2" s="89"/>
    </row>
    <row r="3" spans="1:9" ht="34.5" customHeight="1">
      <c r="A3" s="90" t="str">
        <f>'ANEXO PB  VI CALCULO BDI'!A3</f>
        <v>OBRA: CONTRATAÇÃO DE EMPRESA PARA RECUPERAÇÃO DOS PRÉDIOS DA DEFENSORIA PÚBLICA DO ESTADO DE RORAIMA NA CAPITAL E NOS MUNICÍPIO DO INTERIOR</v>
      </c>
      <c r="B3" s="91"/>
      <c r="C3" s="91"/>
      <c r="D3" s="91"/>
      <c r="E3" s="91"/>
      <c r="F3" s="91"/>
      <c r="G3" s="91"/>
      <c r="H3" s="91"/>
      <c r="I3" s="130"/>
    </row>
    <row r="4" spans="1:9" ht="15.75">
      <c r="A4" s="89"/>
      <c r="B4" s="89"/>
      <c r="C4" s="89"/>
      <c r="D4" s="89"/>
      <c r="E4" s="89"/>
      <c r="F4" s="89"/>
      <c r="G4" s="89"/>
      <c r="H4" s="89"/>
      <c r="I4" s="89"/>
    </row>
    <row r="5" spans="1:9" ht="15.75">
      <c r="A5" s="92" t="s">
        <v>726</v>
      </c>
      <c r="B5" s="88"/>
      <c r="C5" s="88"/>
      <c r="D5" s="88"/>
      <c r="E5" s="88"/>
      <c r="F5" s="88"/>
      <c r="G5" s="88"/>
      <c r="H5" s="88"/>
      <c r="I5" s="129"/>
    </row>
    <row r="6" spans="1:9" ht="15.75">
      <c r="A6" s="89"/>
      <c r="B6" s="89"/>
      <c r="C6" s="89"/>
      <c r="D6" s="89"/>
      <c r="E6" s="89"/>
      <c r="F6" s="89"/>
      <c r="G6" s="89"/>
      <c r="H6" s="89"/>
      <c r="I6" s="89"/>
    </row>
    <row r="7" spans="1:9" ht="15.75">
      <c r="A7" s="93" t="s">
        <v>688</v>
      </c>
      <c r="B7" s="93"/>
      <c r="C7" s="93"/>
      <c r="D7" s="93"/>
      <c r="E7" s="93"/>
      <c r="F7" s="93"/>
      <c r="G7" s="93"/>
      <c r="H7" s="93"/>
      <c r="I7" s="93"/>
    </row>
    <row r="8" spans="1:9" ht="15.75">
      <c r="A8" s="89"/>
      <c r="B8" s="89"/>
      <c r="C8" s="89"/>
      <c r="D8" s="89"/>
      <c r="E8" s="89"/>
      <c r="F8" s="89"/>
      <c r="G8" s="89"/>
      <c r="H8" s="89"/>
      <c r="I8" s="89"/>
    </row>
    <row r="9" spans="1:9" ht="15.75">
      <c r="A9" s="94" t="s">
        <v>689</v>
      </c>
      <c r="B9" s="94"/>
      <c r="C9" s="94"/>
      <c r="D9" s="94"/>
      <c r="E9" s="94"/>
      <c r="F9" s="94" t="s">
        <v>690</v>
      </c>
      <c r="G9" s="94"/>
      <c r="H9" s="94"/>
      <c r="I9" s="94" t="s">
        <v>691</v>
      </c>
    </row>
    <row r="10" spans="1:9" ht="15.75">
      <c r="A10" s="94"/>
      <c r="B10" s="94"/>
      <c r="C10" s="94"/>
      <c r="D10" s="94"/>
      <c r="E10" s="94"/>
      <c r="F10" s="95" t="s">
        <v>692</v>
      </c>
      <c r="G10" s="95" t="s">
        <v>693</v>
      </c>
      <c r="H10" s="95" t="s">
        <v>694</v>
      </c>
      <c r="I10" s="94"/>
    </row>
    <row r="11" spans="1:9" ht="15.75">
      <c r="A11" s="94" t="s">
        <v>695</v>
      </c>
      <c r="B11" s="96" t="s">
        <v>696</v>
      </c>
      <c r="C11" s="96"/>
      <c r="D11" s="96"/>
      <c r="E11" s="96"/>
      <c r="F11" s="97">
        <v>0.015</v>
      </c>
      <c r="G11" s="98">
        <v>0.0345</v>
      </c>
      <c r="H11" s="97">
        <v>0.0449</v>
      </c>
      <c r="I11" s="131">
        <v>0.0345</v>
      </c>
    </row>
    <row r="12" spans="1:9" ht="15.75">
      <c r="A12" s="94"/>
      <c r="B12" s="99" t="s">
        <v>727</v>
      </c>
      <c r="C12" s="99"/>
      <c r="D12" s="99"/>
      <c r="E12" s="99"/>
      <c r="F12" s="97">
        <v>0.003</v>
      </c>
      <c r="G12" s="98">
        <v>0.0048</v>
      </c>
      <c r="H12" s="97">
        <v>0.0082</v>
      </c>
      <c r="I12" s="131">
        <v>0.0048</v>
      </c>
    </row>
    <row r="13" spans="1:9" ht="15.75">
      <c r="A13" s="94"/>
      <c r="B13" s="99" t="s">
        <v>697</v>
      </c>
      <c r="C13" s="99"/>
      <c r="D13" s="99"/>
      <c r="E13" s="99"/>
      <c r="F13" s="97">
        <v>0.0056</v>
      </c>
      <c r="G13" s="98">
        <v>0.0085</v>
      </c>
      <c r="H13" s="97">
        <v>0.0089</v>
      </c>
      <c r="I13" s="131">
        <v>0.0085</v>
      </c>
    </row>
    <row r="14" spans="1:9" ht="15.75">
      <c r="A14" s="94"/>
      <c r="B14" s="100" t="s">
        <v>698</v>
      </c>
      <c r="C14" s="100"/>
      <c r="D14" s="100"/>
      <c r="E14" s="100"/>
      <c r="F14" s="100"/>
      <c r="G14" s="100"/>
      <c r="H14" s="100"/>
      <c r="I14" s="103">
        <v>0.0478</v>
      </c>
    </row>
    <row r="15" spans="1:9" ht="15.75">
      <c r="A15" s="94" t="s">
        <v>699</v>
      </c>
      <c r="B15" s="96" t="s">
        <v>700</v>
      </c>
      <c r="C15" s="96"/>
      <c r="D15" s="96"/>
      <c r="E15" s="96"/>
      <c r="F15" s="97">
        <v>0.0085</v>
      </c>
      <c r="G15" s="98">
        <v>0.0085</v>
      </c>
      <c r="H15" s="97">
        <v>0.0111</v>
      </c>
      <c r="I15" s="102">
        <v>0.0085</v>
      </c>
    </row>
    <row r="16" spans="1:9" ht="15.75">
      <c r="A16" s="94"/>
      <c r="B16" s="100" t="s">
        <v>698</v>
      </c>
      <c r="C16" s="100"/>
      <c r="D16" s="100"/>
      <c r="E16" s="100"/>
      <c r="F16" s="100"/>
      <c r="G16" s="100"/>
      <c r="H16" s="100"/>
      <c r="I16" s="103">
        <v>0.0085</v>
      </c>
    </row>
    <row r="17" spans="1:9" ht="15.75">
      <c r="A17" s="94" t="s">
        <v>701</v>
      </c>
      <c r="B17" s="96" t="s">
        <v>702</v>
      </c>
      <c r="C17" s="96"/>
      <c r="D17" s="96"/>
      <c r="E17" s="96"/>
      <c r="F17" s="97">
        <v>0.035</v>
      </c>
      <c r="G17" s="98">
        <v>0.0511</v>
      </c>
      <c r="H17" s="97">
        <v>0.0622</v>
      </c>
      <c r="I17" s="102">
        <v>0.0511</v>
      </c>
    </row>
    <row r="18" spans="1:9" ht="15.75">
      <c r="A18" s="94"/>
      <c r="B18" s="100" t="s">
        <v>698</v>
      </c>
      <c r="C18" s="100"/>
      <c r="D18" s="100"/>
      <c r="E18" s="100"/>
      <c r="F18" s="100"/>
      <c r="G18" s="100"/>
      <c r="H18" s="100"/>
      <c r="I18" s="103">
        <v>0.0511</v>
      </c>
    </row>
    <row r="19" spans="1:9" ht="15.75">
      <c r="A19" s="94" t="s">
        <v>703</v>
      </c>
      <c r="B19" s="101" t="s">
        <v>704</v>
      </c>
      <c r="C19" s="101"/>
      <c r="D19" s="101"/>
      <c r="E19" s="101"/>
      <c r="F19" s="101"/>
      <c r="G19" s="101"/>
      <c r="H19" s="101"/>
      <c r="I19" s="132"/>
    </row>
    <row r="20" spans="1:9" ht="15.75">
      <c r="A20" s="94"/>
      <c r="B20" s="99" t="s">
        <v>705</v>
      </c>
      <c r="C20" s="99"/>
      <c r="D20" s="99"/>
      <c r="E20" s="99"/>
      <c r="F20" s="102">
        <v>0.03</v>
      </c>
      <c r="G20" s="103">
        <v>0.03</v>
      </c>
      <c r="H20" s="102">
        <v>0.03</v>
      </c>
      <c r="I20" s="102">
        <v>0.03</v>
      </c>
    </row>
    <row r="21" spans="1:9" ht="15.75">
      <c r="A21" s="94"/>
      <c r="B21" s="99" t="s">
        <v>706</v>
      </c>
      <c r="C21" s="99"/>
      <c r="D21" s="99"/>
      <c r="E21" s="99"/>
      <c r="F21" s="102">
        <v>0.0065</v>
      </c>
      <c r="G21" s="103">
        <v>0.0065</v>
      </c>
      <c r="H21" s="102">
        <v>0.0065</v>
      </c>
      <c r="I21" s="102">
        <v>0.0065</v>
      </c>
    </row>
    <row r="22" spans="1:9" ht="15.75">
      <c r="A22" s="94"/>
      <c r="B22" s="99" t="s">
        <v>707</v>
      </c>
      <c r="C22" s="99"/>
      <c r="D22" s="99"/>
      <c r="E22" s="99"/>
      <c r="F22" s="104">
        <v>0.02</v>
      </c>
      <c r="G22" s="105">
        <v>0.035</v>
      </c>
      <c r="H22" s="104">
        <v>0.05</v>
      </c>
      <c r="I22" s="102">
        <v>0.0225</v>
      </c>
    </row>
    <row r="23" spans="1:9" ht="15.75">
      <c r="A23" s="94"/>
      <c r="B23" s="99" t="s">
        <v>708</v>
      </c>
      <c r="C23" s="99"/>
      <c r="D23" s="99"/>
      <c r="E23" s="99"/>
      <c r="F23" s="102">
        <v>0.045</v>
      </c>
      <c r="G23" s="103">
        <v>0.045</v>
      </c>
      <c r="H23" s="102">
        <v>0.045</v>
      </c>
      <c r="I23" s="102">
        <v>0.045</v>
      </c>
    </row>
    <row r="24" spans="1:9" ht="15.75">
      <c r="A24" s="94"/>
      <c r="B24" s="100" t="s">
        <v>698</v>
      </c>
      <c r="C24" s="100"/>
      <c r="D24" s="100"/>
      <c r="E24" s="100"/>
      <c r="F24" s="100"/>
      <c r="G24" s="100"/>
      <c r="H24" s="100"/>
      <c r="I24" s="133">
        <v>0.104</v>
      </c>
    </row>
    <row r="25" spans="1:9" ht="15.75">
      <c r="A25" s="106" t="s">
        <v>709</v>
      </c>
      <c r="B25" s="106"/>
      <c r="C25" s="106"/>
      <c r="D25" s="106"/>
      <c r="E25" s="106"/>
      <c r="F25" s="106"/>
      <c r="G25" s="106"/>
      <c r="H25" s="106"/>
      <c r="I25" s="134">
        <v>0.2396</v>
      </c>
    </row>
    <row r="26" spans="1:9" ht="15.75">
      <c r="A26" s="107"/>
      <c r="B26" s="107"/>
      <c r="C26" s="107"/>
      <c r="D26" s="107"/>
      <c r="E26" s="107"/>
      <c r="F26" s="108"/>
      <c r="G26" s="108"/>
      <c r="H26" s="107"/>
      <c r="I26" s="108"/>
    </row>
    <row r="27" spans="1:9" ht="15.75">
      <c r="A27" s="95" t="s">
        <v>710</v>
      </c>
      <c r="B27" s="95"/>
      <c r="C27" s="95"/>
      <c r="D27" s="95"/>
      <c r="E27" s="95"/>
      <c r="F27" s="95" t="s">
        <v>711</v>
      </c>
      <c r="G27" s="95"/>
      <c r="H27" s="95"/>
      <c r="I27" s="95"/>
    </row>
    <row r="28" spans="1:9" ht="15.75">
      <c r="A28" s="109" t="s">
        <v>712</v>
      </c>
      <c r="B28" s="110" t="s">
        <v>713</v>
      </c>
      <c r="C28" s="110"/>
      <c r="D28" s="110"/>
      <c r="E28" s="110"/>
      <c r="F28" s="111"/>
      <c r="G28" s="111"/>
      <c r="H28" s="111"/>
      <c r="I28" s="111"/>
    </row>
    <row r="29" spans="1:9" ht="15.75">
      <c r="A29" s="112" t="s">
        <v>714</v>
      </c>
      <c r="B29" s="110" t="s">
        <v>715</v>
      </c>
      <c r="C29" s="110"/>
      <c r="D29" s="110"/>
      <c r="E29" s="110"/>
      <c r="F29" s="111"/>
      <c r="G29" s="111"/>
      <c r="H29" s="111"/>
      <c r="I29" s="111"/>
    </row>
    <row r="30" spans="1:9" ht="15.75">
      <c r="A30" s="112" t="s">
        <v>716</v>
      </c>
      <c r="B30" s="110" t="s">
        <v>702</v>
      </c>
      <c r="C30" s="110"/>
      <c r="D30" s="110"/>
      <c r="E30" s="110"/>
      <c r="F30" s="111"/>
      <c r="G30" s="111"/>
      <c r="H30" s="111"/>
      <c r="I30" s="111"/>
    </row>
    <row r="31" spans="1:9" ht="15.75">
      <c r="A31" s="112" t="s">
        <v>717</v>
      </c>
      <c r="B31" s="110" t="s">
        <v>718</v>
      </c>
      <c r="C31" s="110"/>
      <c r="D31" s="110"/>
      <c r="E31" s="110"/>
      <c r="F31" s="111"/>
      <c r="G31" s="111"/>
      <c r="H31" s="111"/>
      <c r="I31" s="111"/>
    </row>
    <row r="32" spans="1:9" ht="15.75">
      <c r="A32" s="107"/>
      <c r="B32" s="107"/>
      <c r="C32" s="107"/>
      <c r="D32" s="107"/>
      <c r="E32" s="107"/>
      <c r="F32" s="111"/>
      <c r="G32" s="111"/>
      <c r="H32" s="111"/>
      <c r="I32" s="111"/>
    </row>
    <row r="33" spans="1:9" ht="15.75">
      <c r="A33" s="113" t="s">
        <v>719</v>
      </c>
      <c r="B33" s="114" t="s">
        <v>720</v>
      </c>
      <c r="C33" s="114" t="s">
        <v>721</v>
      </c>
      <c r="D33" s="114" t="s">
        <v>722</v>
      </c>
      <c r="E33" s="115" t="s">
        <v>723</v>
      </c>
      <c r="F33" s="108"/>
      <c r="G33" s="108"/>
      <c r="H33" s="107"/>
      <c r="I33" s="108"/>
    </row>
    <row r="34" spans="1:9" ht="15.75">
      <c r="A34" s="113"/>
      <c r="B34" s="116"/>
      <c r="C34" s="116" t="s">
        <v>724</v>
      </c>
      <c r="D34" s="116"/>
      <c r="E34" s="115"/>
      <c r="F34" s="108"/>
      <c r="G34" s="108"/>
      <c r="H34" s="107"/>
      <c r="I34" s="108"/>
    </row>
    <row r="35" spans="1:9" ht="15.75">
      <c r="A35" s="107"/>
      <c r="B35" s="107"/>
      <c r="C35" s="107"/>
      <c r="D35" s="107"/>
      <c r="E35" s="107"/>
      <c r="F35" s="108"/>
      <c r="G35" s="108"/>
      <c r="H35" s="107"/>
      <c r="I35" s="108"/>
    </row>
    <row r="36" spans="1:9" ht="15.75">
      <c r="A36" s="107"/>
      <c r="B36" s="107"/>
      <c r="C36" s="107"/>
      <c r="D36" s="107"/>
      <c r="E36" s="107"/>
      <c r="F36" s="108"/>
      <c r="G36" s="108"/>
      <c r="H36" s="107"/>
      <c r="I36" s="108"/>
    </row>
    <row r="37" spans="1:9" ht="15.75">
      <c r="A37" s="113" t="s">
        <v>719</v>
      </c>
      <c r="B37" s="117">
        <v>0.0478</v>
      </c>
      <c r="C37" s="117">
        <v>0.0085</v>
      </c>
      <c r="D37" s="118">
        <v>0.0511</v>
      </c>
      <c r="E37" s="115" t="s">
        <v>723</v>
      </c>
      <c r="F37" s="108"/>
      <c r="G37" s="108"/>
      <c r="H37" s="107"/>
      <c r="I37" s="108"/>
    </row>
    <row r="38" spans="1:9" ht="15.75">
      <c r="A38" s="113"/>
      <c r="B38" s="116"/>
      <c r="C38" s="119">
        <v>0.104</v>
      </c>
      <c r="D38" s="116"/>
      <c r="E38" s="115"/>
      <c r="F38" s="108"/>
      <c r="G38" s="108"/>
      <c r="H38" s="107"/>
      <c r="I38" s="108"/>
    </row>
    <row r="39" spans="1:9" ht="15.75">
      <c r="A39" s="107"/>
      <c r="B39" s="107"/>
      <c r="C39" s="107"/>
      <c r="D39" s="107"/>
      <c r="E39" s="107"/>
      <c r="F39" s="108"/>
      <c r="G39" s="108"/>
      <c r="H39" s="107"/>
      <c r="I39" s="108"/>
    </row>
    <row r="40" spans="1:9" ht="15.75">
      <c r="A40" s="107"/>
      <c r="B40" s="107"/>
      <c r="C40" s="107"/>
      <c r="D40" s="107"/>
      <c r="E40" s="107"/>
      <c r="F40" s="108"/>
      <c r="G40" s="108"/>
      <c r="H40" s="107"/>
      <c r="I40" s="108"/>
    </row>
    <row r="41" spans="1:9" ht="15.75">
      <c r="A41" s="113" t="s">
        <v>719</v>
      </c>
      <c r="B41" s="120">
        <v>1.0478</v>
      </c>
      <c r="C41" s="120">
        <v>1.0085</v>
      </c>
      <c r="D41" s="121">
        <v>1.0511</v>
      </c>
      <c r="E41" s="115" t="s">
        <v>723</v>
      </c>
      <c r="F41" s="108"/>
      <c r="G41" s="108"/>
      <c r="H41" s="107"/>
      <c r="I41" s="108"/>
    </row>
    <row r="42" spans="1:9" ht="15.75">
      <c r="A42" s="113"/>
      <c r="B42" s="116"/>
      <c r="C42" s="122">
        <v>0.896</v>
      </c>
      <c r="D42" s="116"/>
      <c r="E42" s="115"/>
      <c r="F42" s="108"/>
      <c r="G42" s="108"/>
      <c r="H42" s="107"/>
      <c r="I42" s="108"/>
    </row>
    <row r="43" spans="1:9" ht="15.75">
      <c r="A43" s="107"/>
      <c r="B43" s="107"/>
      <c r="C43" s="107"/>
      <c r="D43" s="107"/>
      <c r="E43" s="107"/>
      <c r="F43" s="108"/>
      <c r="G43" s="108"/>
      <c r="H43" s="107"/>
      <c r="I43" s="108"/>
    </row>
    <row r="44" spans="1:9" ht="15.75">
      <c r="A44" s="107"/>
      <c r="B44" s="107"/>
      <c r="C44" s="107"/>
      <c r="D44" s="107"/>
      <c r="E44" s="107"/>
      <c r="F44" s="108"/>
      <c r="G44" s="108"/>
      <c r="H44" s="107"/>
      <c r="I44" s="108"/>
    </row>
    <row r="45" spans="1:9" ht="15.75">
      <c r="A45" s="113" t="s">
        <v>719</v>
      </c>
      <c r="B45" s="121">
        <v>1.11070399193</v>
      </c>
      <c r="C45" s="123" t="s">
        <v>725</v>
      </c>
      <c r="D45" s="107"/>
      <c r="E45" s="107"/>
      <c r="F45" s="108"/>
      <c r="G45" s="108"/>
      <c r="H45" s="107"/>
      <c r="I45" s="108"/>
    </row>
    <row r="46" spans="1:9" ht="15.75">
      <c r="A46" s="113"/>
      <c r="B46" s="122">
        <v>0.896</v>
      </c>
      <c r="C46" s="123"/>
      <c r="D46" s="107"/>
      <c r="E46" s="107"/>
      <c r="F46" s="108"/>
      <c r="G46" s="108"/>
      <c r="H46" s="107"/>
      <c r="I46" s="108"/>
    </row>
    <row r="47" spans="1:9" ht="15.75">
      <c r="A47" s="107"/>
      <c r="B47" s="107"/>
      <c r="C47" s="107"/>
      <c r="D47" s="107"/>
      <c r="E47" s="107"/>
      <c r="F47" s="108"/>
      <c r="G47" s="108"/>
      <c r="H47" s="107"/>
      <c r="I47" s="108"/>
    </row>
    <row r="48" spans="1:9" ht="15.75">
      <c r="A48" s="107"/>
      <c r="B48" s="107"/>
      <c r="C48" s="107"/>
      <c r="D48" s="107"/>
      <c r="E48" s="107"/>
      <c r="F48" s="108"/>
      <c r="G48" s="108"/>
      <c r="H48" s="107"/>
      <c r="I48" s="108"/>
    </row>
    <row r="49" spans="1:9" ht="15.75">
      <c r="A49" s="113" t="s">
        <v>719</v>
      </c>
      <c r="B49" s="124">
        <v>1.2396249909933</v>
      </c>
      <c r="C49" s="123" t="s">
        <v>725</v>
      </c>
      <c r="D49" s="107"/>
      <c r="E49" s="125" t="s">
        <v>719</v>
      </c>
      <c r="F49" s="126">
        <v>0.2396</v>
      </c>
      <c r="G49" s="108"/>
      <c r="H49" s="107"/>
      <c r="I49" s="108"/>
    </row>
    <row r="50" spans="1:9" ht="15.75">
      <c r="A50" s="113"/>
      <c r="B50" s="124"/>
      <c r="C50" s="123"/>
      <c r="D50" s="107"/>
      <c r="E50" s="125"/>
      <c r="F50" s="126"/>
      <c r="G50" s="108"/>
      <c r="H50" s="107"/>
      <c r="I50" s="108"/>
    </row>
    <row r="51" spans="1:9" ht="15.75">
      <c r="A51" s="107"/>
      <c r="B51" s="107"/>
      <c r="C51" s="107"/>
      <c r="D51" s="107"/>
      <c r="E51" s="107"/>
      <c r="F51" s="108"/>
      <c r="G51" s="108"/>
      <c r="H51" s="107"/>
      <c r="I51" s="108"/>
    </row>
    <row r="53" spans="1:9" ht="15.75">
      <c r="A53" s="92" t="s">
        <v>687</v>
      </c>
      <c r="B53" s="88"/>
      <c r="C53" s="88"/>
      <c r="D53" s="88"/>
      <c r="E53" s="88"/>
      <c r="F53" s="88"/>
      <c r="G53" s="88"/>
      <c r="H53" s="88"/>
      <c r="I53" s="129"/>
    </row>
    <row r="54" spans="1:9" ht="15.75">
      <c r="A54" s="127"/>
      <c r="B54" s="128"/>
      <c r="C54" s="128"/>
      <c r="D54" s="128"/>
      <c r="E54" s="128"/>
      <c r="F54" s="128"/>
      <c r="G54" s="128"/>
      <c r="H54" s="128"/>
      <c r="I54" s="135"/>
    </row>
    <row r="55" spans="1:9" ht="15.75">
      <c r="A55" s="93" t="s">
        <v>688</v>
      </c>
      <c r="B55" s="93"/>
      <c r="C55" s="93"/>
      <c r="D55" s="93"/>
      <c r="E55" s="93"/>
      <c r="F55" s="93"/>
      <c r="G55" s="93"/>
      <c r="H55" s="93"/>
      <c r="I55" s="93"/>
    </row>
    <row r="56" spans="1:9" ht="15.75">
      <c r="A56" s="107"/>
      <c r="B56" s="107"/>
      <c r="C56" s="107"/>
      <c r="D56" s="107"/>
      <c r="E56" s="107"/>
      <c r="F56" s="108"/>
      <c r="G56" s="108"/>
      <c r="H56" s="107"/>
      <c r="I56" s="108"/>
    </row>
    <row r="57" spans="1:9" ht="15.75">
      <c r="A57" s="94" t="s">
        <v>689</v>
      </c>
      <c r="B57" s="94"/>
      <c r="C57" s="94"/>
      <c r="D57" s="94"/>
      <c r="E57" s="94"/>
      <c r="F57" s="94" t="s">
        <v>690</v>
      </c>
      <c r="G57" s="94"/>
      <c r="H57" s="94"/>
      <c r="I57" s="94" t="s">
        <v>691</v>
      </c>
    </row>
    <row r="58" spans="1:9" ht="15.75">
      <c r="A58" s="94"/>
      <c r="B58" s="94"/>
      <c r="C58" s="94"/>
      <c r="D58" s="94"/>
      <c r="E58" s="94"/>
      <c r="F58" s="95" t="s">
        <v>692</v>
      </c>
      <c r="G58" s="95" t="s">
        <v>693</v>
      </c>
      <c r="H58" s="95" t="s">
        <v>694</v>
      </c>
      <c r="I58" s="94"/>
    </row>
    <row r="59" spans="1:9" ht="15.75">
      <c r="A59" s="94" t="s">
        <v>695</v>
      </c>
      <c r="B59" s="96" t="s">
        <v>696</v>
      </c>
      <c r="C59" s="96"/>
      <c r="D59" s="96"/>
      <c r="E59" s="96"/>
      <c r="F59" s="97">
        <v>0.015</v>
      </c>
      <c r="G59" s="98">
        <v>0.0345</v>
      </c>
      <c r="H59" s="97">
        <v>0.0449</v>
      </c>
      <c r="I59" s="131">
        <v>0.0345</v>
      </c>
    </row>
    <row r="60" spans="1:9" ht="15.75">
      <c r="A60" s="94"/>
      <c r="B60" s="99" t="s">
        <v>727</v>
      </c>
      <c r="C60" s="99"/>
      <c r="D60" s="99"/>
      <c r="E60" s="99"/>
      <c r="F60" s="97">
        <v>0.003</v>
      </c>
      <c r="G60" s="98">
        <v>0.0048</v>
      </c>
      <c r="H60" s="97">
        <v>0.0082</v>
      </c>
      <c r="I60" s="131">
        <v>0.0048</v>
      </c>
    </row>
    <row r="61" spans="1:9" ht="15.75">
      <c r="A61" s="94"/>
      <c r="B61" s="99" t="s">
        <v>697</v>
      </c>
      <c r="C61" s="99"/>
      <c r="D61" s="99"/>
      <c r="E61" s="99"/>
      <c r="F61" s="97">
        <v>0.0056</v>
      </c>
      <c r="G61" s="98">
        <v>0.0085</v>
      </c>
      <c r="H61" s="97">
        <v>0.0089</v>
      </c>
      <c r="I61" s="131">
        <v>0.0085</v>
      </c>
    </row>
    <row r="62" spans="1:9" ht="15.75">
      <c r="A62" s="94"/>
      <c r="B62" s="100" t="s">
        <v>698</v>
      </c>
      <c r="C62" s="100"/>
      <c r="D62" s="100"/>
      <c r="E62" s="100"/>
      <c r="F62" s="100"/>
      <c r="G62" s="100"/>
      <c r="H62" s="100"/>
      <c r="I62" s="103">
        <v>0.0478</v>
      </c>
    </row>
    <row r="63" spans="1:9" ht="15.75">
      <c r="A63" s="94" t="s">
        <v>699</v>
      </c>
      <c r="B63" s="96" t="s">
        <v>700</v>
      </c>
      <c r="C63" s="96"/>
      <c r="D63" s="96"/>
      <c r="E63" s="96"/>
      <c r="F63" s="97">
        <v>0.0085</v>
      </c>
      <c r="G63" s="98">
        <v>0.0085</v>
      </c>
      <c r="H63" s="97">
        <v>0.0111</v>
      </c>
      <c r="I63" s="102">
        <v>0.0085</v>
      </c>
    </row>
    <row r="64" spans="1:9" ht="15.75">
      <c r="A64" s="94"/>
      <c r="B64" s="100" t="s">
        <v>698</v>
      </c>
      <c r="C64" s="100"/>
      <c r="D64" s="100"/>
      <c r="E64" s="100"/>
      <c r="F64" s="100"/>
      <c r="G64" s="100"/>
      <c r="H64" s="100"/>
      <c r="I64" s="103">
        <v>0.0085</v>
      </c>
    </row>
    <row r="65" spans="1:9" ht="15.75">
      <c r="A65" s="94" t="s">
        <v>701</v>
      </c>
      <c r="B65" s="96" t="s">
        <v>702</v>
      </c>
      <c r="C65" s="96"/>
      <c r="D65" s="96"/>
      <c r="E65" s="96"/>
      <c r="F65" s="97">
        <v>0.035</v>
      </c>
      <c r="G65" s="98">
        <v>0.0511</v>
      </c>
      <c r="H65" s="97">
        <v>0.0622</v>
      </c>
      <c r="I65" s="102">
        <v>0.0511</v>
      </c>
    </row>
    <row r="66" spans="1:9" ht="15.75">
      <c r="A66" s="94"/>
      <c r="B66" s="100" t="s">
        <v>698</v>
      </c>
      <c r="C66" s="100"/>
      <c r="D66" s="100"/>
      <c r="E66" s="100"/>
      <c r="F66" s="100"/>
      <c r="G66" s="100"/>
      <c r="H66" s="100"/>
      <c r="I66" s="103">
        <v>0.0511</v>
      </c>
    </row>
    <row r="67" spans="1:9" ht="15.75">
      <c r="A67" s="94" t="s">
        <v>703</v>
      </c>
      <c r="B67" s="101" t="s">
        <v>704</v>
      </c>
      <c r="C67" s="101"/>
      <c r="D67" s="101"/>
      <c r="E67" s="101"/>
      <c r="F67" s="101"/>
      <c r="G67" s="101"/>
      <c r="H67" s="101"/>
      <c r="I67" s="132"/>
    </row>
    <row r="68" spans="1:9" ht="15.75">
      <c r="A68" s="94"/>
      <c r="B68" s="99" t="s">
        <v>705</v>
      </c>
      <c r="C68" s="99"/>
      <c r="D68" s="99"/>
      <c r="E68" s="99"/>
      <c r="F68" s="102">
        <v>0.03</v>
      </c>
      <c r="G68" s="103">
        <v>0.03</v>
      </c>
      <c r="H68" s="102">
        <v>0.03</v>
      </c>
      <c r="I68" s="102">
        <v>0.03</v>
      </c>
    </row>
    <row r="69" spans="1:9" ht="15.75">
      <c r="A69" s="94"/>
      <c r="B69" s="99" t="s">
        <v>706</v>
      </c>
      <c r="C69" s="99"/>
      <c r="D69" s="99"/>
      <c r="E69" s="99"/>
      <c r="F69" s="102">
        <v>0.0065</v>
      </c>
      <c r="G69" s="103">
        <v>0.0065</v>
      </c>
      <c r="H69" s="102">
        <v>0.0065</v>
      </c>
      <c r="I69" s="102">
        <v>0.0065</v>
      </c>
    </row>
    <row r="70" spans="1:9" ht="15.75">
      <c r="A70" s="94"/>
      <c r="B70" s="99" t="s">
        <v>707</v>
      </c>
      <c r="C70" s="99"/>
      <c r="D70" s="99"/>
      <c r="E70" s="99"/>
      <c r="F70" s="104">
        <v>0.02</v>
      </c>
      <c r="G70" s="105">
        <v>0.035</v>
      </c>
      <c r="H70" s="104">
        <v>0.05</v>
      </c>
      <c r="I70" s="102">
        <v>0.015</v>
      </c>
    </row>
    <row r="71" spans="1:9" ht="15.75">
      <c r="A71" s="94"/>
      <c r="B71" s="99" t="s">
        <v>708</v>
      </c>
      <c r="C71" s="99"/>
      <c r="D71" s="99"/>
      <c r="E71" s="99"/>
      <c r="F71" s="102">
        <v>0.045</v>
      </c>
      <c r="G71" s="103">
        <v>0.045</v>
      </c>
      <c r="H71" s="102">
        <v>0.045</v>
      </c>
      <c r="I71" s="102">
        <v>0.045</v>
      </c>
    </row>
    <row r="72" spans="1:9" ht="15.75">
      <c r="A72" s="94"/>
      <c r="B72" s="100" t="s">
        <v>698</v>
      </c>
      <c r="C72" s="100"/>
      <c r="D72" s="100"/>
      <c r="E72" s="100"/>
      <c r="F72" s="100"/>
      <c r="G72" s="100"/>
      <c r="H72" s="100"/>
      <c r="I72" s="133">
        <v>0.0965</v>
      </c>
    </row>
    <row r="73" spans="1:9" ht="15.75">
      <c r="A73" s="106" t="s">
        <v>709</v>
      </c>
      <c r="B73" s="106"/>
      <c r="C73" s="106"/>
      <c r="D73" s="106"/>
      <c r="E73" s="106"/>
      <c r="F73" s="106"/>
      <c r="G73" s="106"/>
      <c r="H73" s="106"/>
      <c r="I73" s="134">
        <v>0.2293</v>
      </c>
    </row>
    <row r="74" spans="1:9" ht="15.75">
      <c r="A74" s="107"/>
      <c r="B74" s="107"/>
      <c r="C74" s="107"/>
      <c r="D74" s="107"/>
      <c r="E74" s="107"/>
      <c r="F74" s="108"/>
      <c r="G74" s="108"/>
      <c r="H74" s="107"/>
      <c r="I74" s="108"/>
    </row>
    <row r="75" spans="1:9" ht="15.75">
      <c r="A75" s="95" t="s">
        <v>710</v>
      </c>
      <c r="B75" s="95"/>
      <c r="C75" s="95"/>
      <c r="D75" s="95"/>
      <c r="E75" s="95"/>
      <c r="F75" s="95" t="s">
        <v>711</v>
      </c>
      <c r="G75" s="95"/>
      <c r="H75" s="95"/>
      <c r="I75" s="95"/>
    </row>
    <row r="76" spans="1:9" ht="15.75">
      <c r="A76" s="109" t="s">
        <v>712</v>
      </c>
      <c r="B76" s="110" t="s">
        <v>713</v>
      </c>
      <c r="C76" s="110"/>
      <c r="D76" s="110"/>
      <c r="E76" s="110"/>
      <c r="F76" s="111"/>
      <c r="G76" s="111"/>
      <c r="H76" s="111"/>
      <c r="I76" s="111"/>
    </row>
    <row r="77" spans="1:9" ht="15.75">
      <c r="A77" s="112" t="s">
        <v>714</v>
      </c>
      <c r="B77" s="110" t="s">
        <v>715</v>
      </c>
      <c r="C77" s="110"/>
      <c r="D77" s="110"/>
      <c r="E77" s="110"/>
      <c r="F77" s="111"/>
      <c r="G77" s="111"/>
      <c r="H77" s="111"/>
      <c r="I77" s="111"/>
    </row>
    <row r="78" spans="1:9" ht="15.75">
      <c r="A78" s="112" t="s">
        <v>716</v>
      </c>
      <c r="B78" s="110" t="s">
        <v>702</v>
      </c>
      <c r="C78" s="110"/>
      <c r="D78" s="110"/>
      <c r="E78" s="110"/>
      <c r="F78" s="111"/>
      <c r="G78" s="111"/>
      <c r="H78" s="111"/>
      <c r="I78" s="111"/>
    </row>
    <row r="79" spans="1:9" ht="15.75">
      <c r="A79" s="112" t="s">
        <v>717</v>
      </c>
      <c r="B79" s="110" t="s">
        <v>718</v>
      </c>
      <c r="C79" s="110"/>
      <c r="D79" s="110"/>
      <c r="E79" s="110"/>
      <c r="F79" s="111"/>
      <c r="G79" s="111"/>
      <c r="H79" s="111"/>
      <c r="I79" s="111"/>
    </row>
    <row r="80" spans="1:9" ht="15.75">
      <c r="A80" s="107"/>
      <c r="B80" s="107"/>
      <c r="C80" s="107"/>
      <c r="D80" s="107"/>
      <c r="E80" s="107"/>
      <c r="F80" s="111"/>
      <c r="G80" s="111"/>
      <c r="H80" s="111"/>
      <c r="I80" s="111"/>
    </row>
    <row r="81" spans="1:9" ht="15.75">
      <c r="A81" s="113" t="s">
        <v>719</v>
      </c>
      <c r="B81" s="114" t="s">
        <v>720</v>
      </c>
      <c r="C81" s="114" t="s">
        <v>721</v>
      </c>
      <c r="D81" s="114" t="s">
        <v>722</v>
      </c>
      <c r="E81" s="115" t="s">
        <v>723</v>
      </c>
      <c r="F81" s="108"/>
      <c r="G81" s="108"/>
      <c r="H81" s="107"/>
      <c r="I81" s="108"/>
    </row>
    <row r="82" spans="1:9" ht="15.75">
      <c r="A82" s="113"/>
      <c r="B82" s="116"/>
      <c r="C82" s="116" t="s">
        <v>724</v>
      </c>
      <c r="D82" s="116"/>
      <c r="E82" s="115"/>
      <c r="F82" s="108"/>
      <c r="G82" s="108"/>
      <c r="H82" s="107"/>
      <c r="I82" s="108"/>
    </row>
    <row r="83" spans="1:9" ht="15.75">
      <c r="A83" s="107"/>
      <c r="B83" s="107"/>
      <c r="C83" s="107"/>
      <c r="D83" s="107"/>
      <c r="E83" s="107"/>
      <c r="F83" s="108"/>
      <c r="G83" s="108"/>
      <c r="H83" s="107"/>
      <c r="I83" s="108"/>
    </row>
    <row r="84" spans="1:9" ht="15.75">
      <c r="A84" s="107"/>
      <c r="B84" s="107"/>
      <c r="C84" s="107"/>
      <c r="D84" s="107"/>
      <c r="E84" s="107"/>
      <c r="F84" s="108"/>
      <c r="G84" s="108"/>
      <c r="H84" s="107"/>
      <c r="I84" s="108"/>
    </row>
    <row r="85" spans="1:9" ht="15.75">
      <c r="A85" s="113" t="s">
        <v>719</v>
      </c>
      <c r="B85" s="117">
        <v>0.0478</v>
      </c>
      <c r="C85" s="117">
        <v>0.0085</v>
      </c>
      <c r="D85" s="118">
        <v>0.0511</v>
      </c>
      <c r="E85" s="115" t="s">
        <v>723</v>
      </c>
      <c r="F85" s="108"/>
      <c r="G85" s="108"/>
      <c r="H85" s="107"/>
      <c r="I85" s="108"/>
    </row>
    <row r="86" spans="1:9" ht="15.75">
      <c r="A86" s="113"/>
      <c r="B86" s="116"/>
      <c r="C86" s="119">
        <v>0.0965</v>
      </c>
      <c r="D86" s="116"/>
      <c r="E86" s="115"/>
      <c r="F86" s="108"/>
      <c r="G86" s="108"/>
      <c r="H86" s="107"/>
      <c r="I86" s="108"/>
    </row>
    <row r="87" spans="1:9" ht="15.75">
      <c r="A87" s="107"/>
      <c r="B87" s="107"/>
      <c r="C87" s="107"/>
      <c r="D87" s="107"/>
      <c r="E87" s="107"/>
      <c r="F87" s="108"/>
      <c r="G87" s="108"/>
      <c r="H87" s="107"/>
      <c r="I87" s="108"/>
    </row>
    <row r="88" spans="1:9" ht="15.75">
      <c r="A88" s="107"/>
      <c r="B88" s="107"/>
      <c r="C88" s="107"/>
      <c r="D88" s="107"/>
      <c r="E88" s="107"/>
      <c r="F88" s="108"/>
      <c r="G88" s="108"/>
      <c r="H88" s="107"/>
      <c r="I88" s="108"/>
    </row>
    <row r="89" spans="1:9" ht="15.75">
      <c r="A89" s="113" t="s">
        <v>719</v>
      </c>
      <c r="B89" s="120">
        <v>1.0478</v>
      </c>
      <c r="C89" s="120">
        <v>1.0085</v>
      </c>
      <c r="D89" s="121">
        <v>1.0511</v>
      </c>
      <c r="E89" s="115" t="s">
        <v>723</v>
      </c>
      <c r="F89" s="108"/>
      <c r="G89" s="108"/>
      <c r="H89" s="107"/>
      <c r="I89" s="108"/>
    </row>
    <row r="90" spans="1:9" ht="15.75">
      <c r="A90" s="113"/>
      <c r="B90" s="116"/>
      <c r="C90" s="122">
        <v>0.9035</v>
      </c>
      <c r="D90" s="116"/>
      <c r="E90" s="115"/>
      <c r="F90" s="108"/>
      <c r="G90" s="108"/>
      <c r="H90" s="107"/>
      <c r="I90" s="108"/>
    </row>
    <row r="91" spans="1:9" ht="15.75">
      <c r="A91" s="107"/>
      <c r="B91" s="107"/>
      <c r="C91" s="107"/>
      <c r="D91" s="107"/>
      <c r="E91" s="107"/>
      <c r="F91" s="108"/>
      <c r="G91" s="108"/>
      <c r="H91" s="107"/>
      <c r="I91" s="108"/>
    </row>
    <row r="92" spans="1:9" ht="15.75">
      <c r="A92" s="107"/>
      <c r="B92" s="107"/>
      <c r="C92" s="107"/>
      <c r="D92" s="107"/>
      <c r="E92" s="107"/>
      <c r="F92" s="108"/>
      <c r="G92" s="108"/>
      <c r="H92" s="107"/>
      <c r="I92" s="108"/>
    </row>
    <row r="93" spans="1:9" ht="15.75">
      <c r="A93" s="113" t="s">
        <v>719</v>
      </c>
      <c r="B93" s="121">
        <v>1.11070399193</v>
      </c>
      <c r="C93" s="123" t="s">
        <v>725</v>
      </c>
      <c r="D93" s="107"/>
      <c r="E93" s="107"/>
      <c r="F93" s="108"/>
      <c r="G93" s="108"/>
      <c r="H93" s="107"/>
      <c r="I93" s="108"/>
    </row>
    <row r="94" spans="1:9" ht="15.75">
      <c r="A94" s="113"/>
      <c r="B94" s="122">
        <v>0.9035</v>
      </c>
      <c r="C94" s="123"/>
      <c r="D94" s="107"/>
      <c r="E94" s="107"/>
      <c r="F94" s="108"/>
      <c r="G94" s="108"/>
      <c r="H94" s="107"/>
      <c r="I94" s="108"/>
    </row>
    <row r="95" spans="1:9" ht="15.75">
      <c r="A95" s="107"/>
      <c r="B95" s="107"/>
      <c r="C95" s="107"/>
      <c r="D95" s="107"/>
      <c r="E95" s="107"/>
      <c r="F95" s="108"/>
      <c r="G95" s="108"/>
      <c r="H95" s="107"/>
      <c r="I95" s="108"/>
    </row>
    <row r="96" spans="1:9" ht="15.75">
      <c r="A96" s="107"/>
      <c r="B96" s="107"/>
      <c r="C96" s="107"/>
      <c r="D96" s="107"/>
      <c r="E96" s="107"/>
      <c r="F96" s="108"/>
      <c r="G96" s="108"/>
      <c r="H96" s="107"/>
      <c r="I96" s="108"/>
    </row>
    <row r="97" spans="1:9" ht="15.75">
      <c r="A97" s="113" t="s">
        <v>719</v>
      </c>
      <c r="B97" s="124">
        <v>1.22933480014388</v>
      </c>
      <c r="C97" s="123" t="s">
        <v>725</v>
      </c>
      <c r="D97" s="107"/>
      <c r="E97" s="125" t="s">
        <v>719</v>
      </c>
      <c r="F97" s="126">
        <v>0.2293</v>
      </c>
      <c r="G97" s="108"/>
      <c r="H97" s="107"/>
      <c r="I97" s="108"/>
    </row>
    <row r="98" spans="1:9" ht="15.75">
      <c r="A98" s="113"/>
      <c r="B98" s="124"/>
      <c r="C98" s="123"/>
      <c r="D98" s="107"/>
      <c r="E98" s="125"/>
      <c r="F98" s="126"/>
      <c r="G98" s="108"/>
      <c r="H98" s="107"/>
      <c r="I98" s="108"/>
    </row>
    <row r="99" spans="1:9" ht="15.75">
      <c r="A99" s="107"/>
      <c r="B99" s="107"/>
      <c r="C99" s="107"/>
      <c r="D99" s="107"/>
      <c r="E99" s="107"/>
      <c r="F99" s="108"/>
      <c r="G99" s="108"/>
      <c r="H99" s="107"/>
      <c r="I99" s="108"/>
    </row>
    <row r="101" spans="1:9" ht="15.75">
      <c r="A101" s="92" t="s">
        <v>728</v>
      </c>
      <c r="B101" s="88"/>
      <c r="C101" s="88"/>
      <c r="D101" s="88"/>
      <c r="E101" s="88"/>
      <c r="F101" s="88"/>
      <c r="G101" s="88"/>
      <c r="H101" s="88"/>
      <c r="I101" s="129"/>
    </row>
    <row r="102" spans="1:9" ht="15.75">
      <c r="A102" s="127"/>
      <c r="B102" s="128"/>
      <c r="C102" s="128"/>
      <c r="D102" s="128"/>
      <c r="E102" s="128"/>
      <c r="F102" s="128"/>
      <c r="G102" s="128"/>
      <c r="H102" s="128"/>
      <c r="I102" s="135"/>
    </row>
    <row r="103" spans="1:9" ht="15.75">
      <c r="A103" s="93" t="s">
        <v>688</v>
      </c>
      <c r="B103" s="93"/>
      <c r="C103" s="93"/>
      <c r="D103" s="93"/>
      <c r="E103" s="93"/>
      <c r="F103" s="93"/>
      <c r="G103" s="93"/>
      <c r="H103" s="93"/>
      <c r="I103" s="93"/>
    </row>
    <row r="104" spans="1:9" ht="15.75">
      <c r="A104" s="107"/>
      <c r="B104" s="107"/>
      <c r="C104" s="107"/>
      <c r="D104" s="107"/>
      <c r="E104" s="107"/>
      <c r="F104" s="108"/>
      <c r="G104" s="108"/>
      <c r="H104" s="107"/>
      <c r="I104" s="108"/>
    </row>
    <row r="105" spans="1:9" ht="15.75">
      <c r="A105" s="94" t="s">
        <v>689</v>
      </c>
      <c r="B105" s="94"/>
      <c r="C105" s="94"/>
      <c r="D105" s="94"/>
      <c r="E105" s="94"/>
      <c r="F105" s="94" t="s">
        <v>690</v>
      </c>
      <c r="G105" s="94"/>
      <c r="H105" s="94"/>
      <c r="I105" s="94" t="s">
        <v>691</v>
      </c>
    </row>
    <row r="106" spans="1:9" ht="15.75">
      <c r="A106" s="94"/>
      <c r="B106" s="94"/>
      <c r="C106" s="94"/>
      <c r="D106" s="94"/>
      <c r="E106" s="94"/>
      <c r="F106" s="95" t="s">
        <v>692</v>
      </c>
      <c r="G106" s="95" t="s">
        <v>693</v>
      </c>
      <c r="H106" s="95" t="s">
        <v>694</v>
      </c>
      <c r="I106" s="94"/>
    </row>
    <row r="107" spans="1:9" ht="15.75">
      <c r="A107" s="94" t="s">
        <v>695</v>
      </c>
      <c r="B107" s="96" t="s">
        <v>696</v>
      </c>
      <c r="C107" s="96"/>
      <c r="D107" s="96"/>
      <c r="E107" s="96"/>
      <c r="F107" s="97">
        <v>0.015</v>
      </c>
      <c r="G107" s="98">
        <v>0.0345</v>
      </c>
      <c r="H107" s="97">
        <v>0.0449</v>
      </c>
      <c r="I107" s="131">
        <v>0.0345</v>
      </c>
    </row>
    <row r="108" spans="1:9" ht="15.75">
      <c r="A108" s="94"/>
      <c r="B108" s="99" t="s">
        <v>727</v>
      </c>
      <c r="C108" s="99"/>
      <c r="D108" s="99"/>
      <c r="E108" s="99"/>
      <c r="F108" s="97">
        <v>0.003</v>
      </c>
      <c r="G108" s="98">
        <v>0.0048</v>
      </c>
      <c r="H108" s="97">
        <v>0.0082</v>
      </c>
      <c r="I108" s="131">
        <v>0.0048</v>
      </c>
    </row>
    <row r="109" spans="1:9" ht="15.75">
      <c r="A109" s="94"/>
      <c r="B109" s="99" t="s">
        <v>697</v>
      </c>
      <c r="C109" s="99"/>
      <c r="D109" s="99"/>
      <c r="E109" s="99"/>
      <c r="F109" s="97">
        <v>0.0056</v>
      </c>
      <c r="G109" s="98">
        <v>0.0085</v>
      </c>
      <c r="H109" s="97">
        <v>0.0089</v>
      </c>
      <c r="I109" s="131">
        <v>0.0085</v>
      </c>
    </row>
    <row r="110" spans="1:9" ht="15.75">
      <c r="A110" s="94"/>
      <c r="B110" s="100" t="s">
        <v>698</v>
      </c>
      <c r="C110" s="100"/>
      <c r="D110" s="100"/>
      <c r="E110" s="100"/>
      <c r="F110" s="100"/>
      <c r="G110" s="100"/>
      <c r="H110" s="100"/>
      <c r="I110" s="103">
        <v>0.0478</v>
      </c>
    </row>
    <row r="111" spans="1:9" ht="15.75">
      <c r="A111" s="94" t="s">
        <v>699</v>
      </c>
      <c r="B111" s="96" t="s">
        <v>700</v>
      </c>
      <c r="C111" s="96"/>
      <c r="D111" s="96"/>
      <c r="E111" s="96"/>
      <c r="F111" s="97">
        <v>0.0085</v>
      </c>
      <c r="G111" s="98">
        <v>0.0085</v>
      </c>
      <c r="H111" s="97">
        <v>0.0111</v>
      </c>
      <c r="I111" s="102">
        <v>0.0085</v>
      </c>
    </row>
    <row r="112" spans="1:9" ht="15.75">
      <c r="A112" s="94"/>
      <c r="B112" s="100" t="s">
        <v>698</v>
      </c>
      <c r="C112" s="100"/>
      <c r="D112" s="100"/>
      <c r="E112" s="100"/>
      <c r="F112" s="100"/>
      <c r="G112" s="100"/>
      <c r="H112" s="100"/>
      <c r="I112" s="103">
        <v>0.0085</v>
      </c>
    </row>
    <row r="113" spans="1:9" ht="15.75">
      <c r="A113" s="94" t="s">
        <v>701</v>
      </c>
      <c r="B113" s="96" t="s">
        <v>702</v>
      </c>
      <c r="C113" s="96"/>
      <c r="D113" s="96"/>
      <c r="E113" s="96"/>
      <c r="F113" s="97">
        <v>0.035</v>
      </c>
      <c r="G113" s="98">
        <v>0.0511</v>
      </c>
      <c r="H113" s="97">
        <v>0.0622</v>
      </c>
      <c r="I113" s="102">
        <v>0.0511</v>
      </c>
    </row>
    <row r="114" spans="1:9" ht="15.75">
      <c r="A114" s="94"/>
      <c r="B114" s="100" t="s">
        <v>698</v>
      </c>
      <c r="C114" s="100"/>
      <c r="D114" s="100"/>
      <c r="E114" s="100"/>
      <c r="F114" s="100"/>
      <c r="G114" s="100"/>
      <c r="H114" s="100"/>
      <c r="I114" s="103">
        <v>0.0511</v>
      </c>
    </row>
    <row r="115" spans="1:9" ht="15.75">
      <c r="A115" s="94" t="s">
        <v>703</v>
      </c>
      <c r="B115" s="101" t="s">
        <v>704</v>
      </c>
      <c r="C115" s="101"/>
      <c r="D115" s="101"/>
      <c r="E115" s="101"/>
      <c r="F115" s="101"/>
      <c r="G115" s="101"/>
      <c r="H115" s="101"/>
      <c r="I115" s="132"/>
    </row>
    <row r="116" spans="1:9" ht="15.75">
      <c r="A116" s="94"/>
      <c r="B116" s="99" t="s">
        <v>705</v>
      </c>
      <c r="C116" s="99"/>
      <c r="D116" s="99"/>
      <c r="E116" s="99"/>
      <c r="F116" s="102">
        <v>0.03</v>
      </c>
      <c r="G116" s="103">
        <v>0.03</v>
      </c>
      <c r="H116" s="102">
        <v>0.03</v>
      </c>
      <c r="I116" s="102">
        <v>0.03</v>
      </c>
    </row>
    <row r="117" spans="1:9" ht="15.75">
      <c r="A117" s="94"/>
      <c r="B117" s="99" t="s">
        <v>706</v>
      </c>
      <c r="C117" s="99"/>
      <c r="D117" s="99"/>
      <c r="E117" s="99"/>
      <c r="F117" s="102">
        <v>0.0065</v>
      </c>
      <c r="G117" s="103">
        <v>0.0065</v>
      </c>
      <c r="H117" s="102">
        <v>0.0065</v>
      </c>
      <c r="I117" s="102">
        <v>0.0065</v>
      </c>
    </row>
    <row r="118" spans="1:9" ht="15.75">
      <c r="A118" s="94"/>
      <c r="B118" s="99" t="s">
        <v>707</v>
      </c>
      <c r="C118" s="99"/>
      <c r="D118" s="99"/>
      <c r="E118" s="99"/>
      <c r="F118" s="104">
        <v>0.02</v>
      </c>
      <c r="G118" s="105">
        <v>0.035</v>
      </c>
      <c r="H118" s="104">
        <v>0.05</v>
      </c>
      <c r="I118" s="102">
        <v>0.025</v>
      </c>
    </row>
    <row r="119" spans="1:9" ht="15.75">
      <c r="A119" s="94"/>
      <c r="B119" s="99" t="s">
        <v>708</v>
      </c>
      <c r="C119" s="99"/>
      <c r="D119" s="99"/>
      <c r="E119" s="99"/>
      <c r="F119" s="102">
        <v>0.045</v>
      </c>
      <c r="G119" s="103">
        <v>0.045</v>
      </c>
      <c r="H119" s="102">
        <v>0.045</v>
      </c>
      <c r="I119" s="102">
        <v>0.045</v>
      </c>
    </row>
    <row r="120" spans="1:9" ht="15.75">
      <c r="A120" s="94"/>
      <c r="B120" s="100" t="s">
        <v>698</v>
      </c>
      <c r="C120" s="100"/>
      <c r="D120" s="100"/>
      <c r="E120" s="100"/>
      <c r="F120" s="100"/>
      <c r="G120" s="100"/>
      <c r="H120" s="100"/>
      <c r="I120" s="133">
        <v>0.1065</v>
      </c>
    </row>
    <row r="121" spans="1:9" ht="15.75">
      <c r="A121" s="106" t="s">
        <v>709</v>
      </c>
      <c r="B121" s="106"/>
      <c r="C121" s="106"/>
      <c r="D121" s="106"/>
      <c r="E121" s="106"/>
      <c r="F121" s="106"/>
      <c r="G121" s="106"/>
      <c r="H121" s="106"/>
      <c r="I121" s="134">
        <v>0.2431</v>
      </c>
    </row>
    <row r="122" spans="1:9" ht="15.75">
      <c r="A122" s="107"/>
      <c r="B122" s="107"/>
      <c r="C122" s="107"/>
      <c r="D122" s="107"/>
      <c r="E122" s="107"/>
      <c r="F122" s="108"/>
      <c r="G122" s="108"/>
      <c r="H122" s="107"/>
      <c r="I122" s="108"/>
    </row>
    <row r="123" spans="1:9" ht="15.75">
      <c r="A123" s="95" t="s">
        <v>710</v>
      </c>
      <c r="B123" s="95"/>
      <c r="C123" s="95"/>
      <c r="D123" s="95"/>
      <c r="E123" s="95"/>
      <c r="F123" s="95" t="s">
        <v>711</v>
      </c>
      <c r="G123" s="95"/>
      <c r="H123" s="95"/>
      <c r="I123" s="95"/>
    </row>
    <row r="124" spans="1:9" ht="15.75">
      <c r="A124" s="109" t="s">
        <v>712</v>
      </c>
      <c r="B124" s="110" t="s">
        <v>713</v>
      </c>
      <c r="C124" s="110"/>
      <c r="D124" s="110"/>
      <c r="E124" s="110"/>
      <c r="F124" s="111"/>
      <c r="G124" s="111"/>
      <c r="H124" s="111"/>
      <c r="I124" s="111"/>
    </row>
    <row r="125" spans="1:9" ht="15.75">
      <c r="A125" s="112" t="s">
        <v>714</v>
      </c>
      <c r="B125" s="110" t="s">
        <v>715</v>
      </c>
      <c r="C125" s="110"/>
      <c r="D125" s="110"/>
      <c r="E125" s="110"/>
      <c r="F125" s="111"/>
      <c r="G125" s="111"/>
      <c r="H125" s="111"/>
      <c r="I125" s="111"/>
    </row>
    <row r="126" spans="1:9" ht="15.75">
      <c r="A126" s="112" t="s">
        <v>716</v>
      </c>
      <c r="B126" s="110" t="s">
        <v>702</v>
      </c>
      <c r="C126" s="110"/>
      <c r="D126" s="110"/>
      <c r="E126" s="110"/>
      <c r="F126" s="111"/>
      <c r="G126" s="111"/>
      <c r="H126" s="111"/>
      <c r="I126" s="111"/>
    </row>
    <row r="127" spans="1:9" ht="15.75">
      <c r="A127" s="112" t="s">
        <v>717</v>
      </c>
      <c r="B127" s="110" t="s">
        <v>718</v>
      </c>
      <c r="C127" s="110"/>
      <c r="D127" s="110"/>
      <c r="E127" s="110"/>
      <c r="F127" s="111"/>
      <c r="G127" s="111"/>
      <c r="H127" s="111"/>
      <c r="I127" s="111"/>
    </row>
    <row r="128" spans="1:9" ht="15.75">
      <c r="A128" s="107"/>
      <c r="B128" s="107"/>
      <c r="C128" s="107"/>
      <c r="D128" s="107"/>
      <c r="E128" s="107"/>
      <c r="F128" s="111"/>
      <c r="G128" s="111"/>
      <c r="H128" s="111"/>
      <c r="I128" s="111"/>
    </row>
    <row r="129" spans="1:9" ht="15.75">
      <c r="A129" s="113" t="s">
        <v>719</v>
      </c>
      <c r="B129" s="114" t="s">
        <v>720</v>
      </c>
      <c r="C129" s="114" t="s">
        <v>721</v>
      </c>
      <c r="D129" s="114" t="s">
        <v>722</v>
      </c>
      <c r="E129" s="115" t="s">
        <v>723</v>
      </c>
      <c r="F129" s="108"/>
      <c r="G129" s="108"/>
      <c r="H129" s="107"/>
      <c r="I129" s="108"/>
    </row>
    <row r="130" spans="1:9" ht="15.75">
      <c r="A130" s="113"/>
      <c r="B130" s="116"/>
      <c r="C130" s="116" t="s">
        <v>724</v>
      </c>
      <c r="D130" s="116"/>
      <c r="E130" s="115"/>
      <c r="F130" s="108"/>
      <c r="G130" s="108"/>
      <c r="H130" s="107"/>
      <c r="I130" s="108"/>
    </row>
    <row r="131" spans="1:9" ht="15.75">
      <c r="A131" s="107"/>
      <c r="B131" s="107"/>
      <c r="C131" s="107"/>
      <c r="D131" s="107"/>
      <c r="E131" s="107"/>
      <c r="F131" s="108"/>
      <c r="G131" s="108"/>
      <c r="H131" s="107"/>
      <c r="I131" s="108"/>
    </row>
    <row r="132" spans="1:9" ht="15.75">
      <c r="A132" s="107"/>
      <c r="B132" s="107"/>
      <c r="C132" s="107"/>
      <c r="D132" s="107"/>
      <c r="E132" s="107"/>
      <c r="F132" s="108"/>
      <c r="G132" s="108"/>
      <c r="H132" s="107"/>
      <c r="I132" s="108"/>
    </row>
    <row r="133" spans="1:9" ht="15.75">
      <c r="A133" s="113" t="s">
        <v>719</v>
      </c>
      <c r="B133" s="117">
        <v>0.0478</v>
      </c>
      <c r="C133" s="117">
        <v>0.0085</v>
      </c>
      <c r="D133" s="118">
        <v>0.0511</v>
      </c>
      <c r="E133" s="115" t="s">
        <v>723</v>
      </c>
      <c r="F133" s="108"/>
      <c r="G133" s="108"/>
      <c r="H133" s="107"/>
      <c r="I133" s="108"/>
    </row>
    <row r="134" spans="1:9" ht="15.75">
      <c r="A134" s="113"/>
      <c r="B134" s="116"/>
      <c r="C134" s="119">
        <v>0.1065</v>
      </c>
      <c r="D134" s="116"/>
      <c r="E134" s="115"/>
      <c r="F134" s="108"/>
      <c r="G134" s="108"/>
      <c r="H134" s="107"/>
      <c r="I134" s="108"/>
    </row>
    <row r="135" spans="1:9" ht="15.75">
      <c r="A135" s="107"/>
      <c r="B135" s="107"/>
      <c r="C135" s="107"/>
      <c r="D135" s="107"/>
      <c r="E135" s="107"/>
      <c r="F135" s="108"/>
      <c r="G135" s="108"/>
      <c r="H135" s="107"/>
      <c r="I135" s="108"/>
    </row>
    <row r="136" spans="1:9" ht="15.75">
      <c r="A136" s="107"/>
      <c r="B136" s="107"/>
      <c r="C136" s="107"/>
      <c r="D136" s="107"/>
      <c r="E136" s="107"/>
      <c r="F136" s="108"/>
      <c r="G136" s="108"/>
      <c r="H136" s="107"/>
      <c r="I136" s="108"/>
    </row>
    <row r="137" spans="1:9" ht="15.75">
      <c r="A137" s="113" t="s">
        <v>719</v>
      </c>
      <c r="B137" s="120">
        <v>1.0478</v>
      </c>
      <c r="C137" s="120">
        <v>1.0085</v>
      </c>
      <c r="D137" s="121">
        <v>1.0511</v>
      </c>
      <c r="E137" s="115" t="s">
        <v>723</v>
      </c>
      <c r="F137" s="108"/>
      <c r="G137" s="108"/>
      <c r="H137" s="107"/>
      <c r="I137" s="108"/>
    </row>
    <row r="138" spans="1:9" ht="15.75">
      <c r="A138" s="113"/>
      <c r="B138" s="116"/>
      <c r="C138" s="122">
        <v>0.8935</v>
      </c>
      <c r="D138" s="116"/>
      <c r="E138" s="115"/>
      <c r="F138" s="108"/>
      <c r="G138" s="108"/>
      <c r="H138" s="107"/>
      <c r="I138" s="108"/>
    </row>
    <row r="139" spans="1:9" ht="15.75">
      <c r="A139" s="107"/>
      <c r="B139" s="107"/>
      <c r="C139" s="107"/>
      <c r="D139" s="107"/>
      <c r="E139" s="107"/>
      <c r="F139" s="108"/>
      <c r="G139" s="108"/>
      <c r="H139" s="107"/>
      <c r="I139" s="108"/>
    </row>
    <row r="140" spans="1:9" ht="15.75">
      <c r="A140" s="107"/>
      <c r="B140" s="107"/>
      <c r="C140" s="107"/>
      <c r="D140" s="107"/>
      <c r="E140" s="107"/>
      <c r="F140" s="108"/>
      <c r="G140" s="108"/>
      <c r="H140" s="107"/>
      <c r="I140" s="108"/>
    </row>
    <row r="141" spans="1:9" ht="15.75">
      <c r="A141" s="113" t="s">
        <v>719</v>
      </c>
      <c r="B141" s="121">
        <v>1.11070399193</v>
      </c>
      <c r="C141" s="123" t="s">
        <v>725</v>
      </c>
      <c r="D141" s="107"/>
      <c r="E141" s="107"/>
      <c r="F141" s="108"/>
      <c r="G141" s="108"/>
      <c r="H141" s="107"/>
      <c r="I141" s="108"/>
    </row>
    <row r="142" spans="1:9" ht="15.75">
      <c r="A142" s="113"/>
      <c r="B142" s="122">
        <v>0.8935</v>
      </c>
      <c r="C142" s="123"/>
      <c r="D142" s="107"/>
      <c r="E142" s="107"/>
      <c r="F142" s="108"/>
      <c r="G142" s="108"/>
      <c r="H142" s="107"/>
      <c r="I142" s="108"/>
    </row>
    <row r="143" spans="1:9" ht="15.75">
      <c r="A143" s="107"/>
      <c r="B143" s="107"/>
      <c r="C143" s="107"/>
      <c r="D143" s="107"/>
      <c r="E143" s="107"/>
      <c r="F143" s="108"/>
      <c r="G143" s="108"/>
      <c r="H143" s="107"/>
      <c r="I143" s="108"/>
    </row>
    <row r="144" spans="1:9" ht="15.75">
      <c r="A144" s="107"/>
      <c r="B144" s="107"/>
      <c r="C144" s="107"/>
      <c r="D144" s="107"/>
      <c r="E144" s="107"/>
      <c r="F144" s="108"/>
      <c r="G144" s="108"/>
      <c r="H144" s="107"/>
      <c r="I144" s="108"/>
    </row>
    <row r="145" spans="1:9" ht="15.75">
      <c r="A145" s="113" t="s">
        <v>719</v>
      </c>
      <c r="B145" s="124">
        <v>1.24309344368215</v>
      </c>
      <c r="C145" s="123" t="s">
        <v>725</v>
      </c>
      <c r="D145" s="107"/>
      <c r="E145" s="125" t="s">
        <v>719</v>
      </c>
      <c r="F145" s="126">
        <v>0.2431</v>
      </c>
      <c r="G145" s="108"/>
      <c r="H145" s="107"/>
      <c r="I145" s="108"/>
    </row>
    <row r="146" spans="1:9" ht="15.75">
      <c r="A146" s="113"/>
      <c r="B146" s="124"/>
      <c r="C146" s="123"/>
      <c r="D146" s="107"/>
      <c r="E146" s="125"/>
      <c r="F146" s="126"/>
      <c r="G146" s="108"/>
      <c r="H146" s="107"/>
      <c r="I146" s="108"/>
    </row>
    <row r="147" spans="1:9" ht="15.75">
      <c r="A147" s="107"/>
      <c r="B147" s="107"/>
      <c r="C147" s="107"/>
      <c r="D147" s="107"/>
      <c r="E147" s="107"/>
      <c r="F147" s="108"/>
      <c r="G147" s="108"/>
      <c r="H147" s="107"/>
      <c r="I147" s="108"/>
    </row>
    <row r="149" spans="1:9" ht="15.75">
      <c r="A149" s="92" t="s">
        <v>729</v>
      </c>
      <c r="B149" s="88"/>
      <c r="C149" s="88"/>
      <c r="D149" s="88"/>
      <c r="E149" s="88"/>
      <c r="F149" s="88"/>
      <c r="G149" s="88"/>
      <c r="H149" s="88"/>
      <c r="I149" s="129"/>
    </row>
    <row r="150" spans="1:9" ht="15.75">
      <c r="A150" s="127"/>
      <c r="B150" s="128"/>
      <c r="C150" s="128"/>
      <c r="D150" s="128"/>
      <c r="E150" s="128"/>
      <c r="F150" s="128"/>
      <c r="G150" s="128"/>
      <c r="H150" s="128"/>
      <c r="I150" s="135"/>
    </row>
    <row r="151" spans="1:9" ht="15.75">
      <c r="A151" s="93" t="s">
        <v>688</v>
      </c>
      <c r="B151" s="93"/>
      <c r="C151" s="93"/>
      <c r="D151" s="93"/>
      <c r="E151" s="93"/>
      <c r="F151" s="93"/>
      <c r="G151" s="93"/>
      <c r="H151" s="93"/>
      <c r="I151" s="93"/>
    </row>
    <row r="152" spans="1:9" ht="15.75">
      <c r="A152" s="107"/>
      <c r="B152" s="107"/>
      <c r="C152" s="107"/>
      <c r="D152" s="107"/>
      <c r="E152" s="107"/>
      <c r="F152" s="108"/>
      <c r="G152" s="108"/>
      <c r="H152" s="107"/>
      <c r="I152" s="108"/>
    </row>
    <row r="153" spans="1:9" ht="15.75">
      <c r="A153" s="94" t="s">
        <v>689</v>
      </c>
      <c r="B153" s="94"/>
      <c r="C153" s="94"/>
      <c r="D153" s="94"/>
      <c r="E153" s="94"/>
      <c r="F153" s="94" t="s">
        <v>690</v>
      </c>
      <c r="G153" s="94"/>
      <c r="H153" s="94"/>
      <c r="I153" s="94" t="s">
        <v>691</v>
      </c>
    </row>
    <row r="154" spans="1:9" ht="15.75">
      <c r="A154" s="94"/>
      <c r="B154" s="94"/>
      <c r="C154" s="94"/>
      <c r="D154" s="94"/>
      <c r="E154" s="94"/>
      <c r="F154" s="95" t="s">
        <v>692</v>
      </c>
      <c r="G154" s="95" t="s">
        <v>693</v>
      </c>
      <c r="H154" s="95" t="s">
        <v>694</v>
      </c>
      <c r="I154" s="94"/>
    </row>
    <row r="155" spans="1:9" ht="15.75">
      <c r="A155" s="94" t="s">
        <v>695</v>
      </c>
      <c r="B155" s="96" t="s">
        <v>696</v>
      </c>
      <c r="C155" s="96"/>
      <c r="D155" s="96"/>
      <c r="E155" s="96"/>
      <c r="F155" s="97">
        <v>0.015</v>
      </c>
      <c r="G155" s="98">
        <v>0.0345</v>
      </c>
      <c r="H155" s="97">
        <v>0.0449</v>
      </c>
      <c r="I155" s="131">
        <v>0.0345</v>
      </c>
    </row>
    <row r="156" spans="1:9" ht="15.75">
      <c r="A156" s="94"/>
      <c r="B156" s="99" t="s">
        <v>727</v>
      </c>
      <c r="C156" s="99"/>
      <c r="D156" s="99"/>
      <c r="E156" s="99"/>
      <c r="F156" s="97">
        <v>0.003</v>
      </c>
      <c r="G156" s="98">
        <v>0.0048</v>
      </c>
      <c r="H156" s="97">
        <v>0.0082</v>
      </c>
      <c r="I156" s="131">
        <v>0.0048</v>
      </c>
    </row>
    <row r="157" spans="1:9" ht="15.75">
      <c r="A157" s="94"/>
      <c r="B157" s="99" t="s">
        <v>697</v>
      </c>
      <c r="C157" s="99"/>
      <c r="D157" s="99"/>
      <c r="E157" s="99"/>
      <c r="F157" s="97">
        <v>0.0056</v>
      </c>
      <c r="G157" s="98">
        <v>0.0085</v>
      </c>
      <c r="H157" s="97">
        <v>0.0089</v>
      </c>
      <c r="I157" s="131">
        <v>0.0085</v>
      </c>
    </row>
    <row r="158" spans="1:9" ht="15.75">
      <c r="A158" s="94"/>
      <c r="B158" s="100" t="s">
        <v>698</v>
      </c>
      <c r="C158" s="100"/>
      <c r="D158" s="100"/>
      <c r="E158" s="100"/>
      <c r="F158" s="100"/>
      <c r="G158" s="100"/>
      <c r="H158" s="100"/>
      <c r="I158" s="103">
        <v>0.0478</v>
      </c>
    </row>
    <row r="159" spans="1:9" ht="15.75">
      <c r="A159" s="94" t="s">
        <v>699</v>
      </c>
      <c r="B159" s="96" t="s">
        <v>700</v>
      </c>
      <c r="C159" s="96"/>
      <c r="D159" s="96"/>
      <c r="E159" s="96"/>
      <c r="F159" s="97">
        <v>0.0085</v>
      </c>
      <c r="G159" s="98">
        <v>0.0085</v>
      </c>
      <c r="H159" s="97">
        <v>0.0111</v>
      </c>
      <c r="I159" s="102">
        <v>0.0085</v>
      </c>
    </row>
    <row r="160" spans="1:9" ht="15.75">
      <c r="A160" s="94"/>
      <c r="B160" s="100" t="s">
        <v>698</v>
      </c>
      <c r="C160" s="100"/>
      <c r="D160" s="100"/>
      <c r="E160" s="100"/>
      <c r="F160" s="100"/>
      <c r="G160" s="100"/>
      <c r="H160" s="100"/>
      <c r="I160" s="103">
        <v>0.0085</v>
      </c>
    </row>
    <row r="161" spans="1:9" ht="15.75">
      <c r="A161" s="94" t="s">
        <v>701</v>
      </c>
      <c r="B161" s="96" t="s">
        <v>702</v>
      </c>
      <c r="C161" s="96"/>
      <c r="D161" s="96"/>
      <c r="E161" s="96"/>
      <c r="F161" s="97">
        <v>0.035</v>
      </c>
      <c r="G161" s="98">
        <v>0.0511</v>
      </c>
      <c r="H161" s="97">
        <v>0.0622</v>
      </c>
      <c r="I161" s="102">
        <v>0.0511</v>
      </c>
    </row>
    <row r="162" spans="1:9" ht="15.75">
      <c r="A162" s="94"/>
      <c r="B162" s="100" t="s">
        <v>698</v>
      </c>
      <c r="C162" s="100"/>
      <c r="D162" s="100"/>
      <c r="E162" s="100"/>
      <c r="F162" s="100"/>
      <c r="G162" s="100"/>
      <c r="H162" s="100"/>
      <c r="I162" s="103">
        <v>0.0511</v>
      </c>
    </row>
    <row r="163" spans="1:9" ht="15.75">
      <c r="A163" s="94" t="s">
        <v>703</v>
      </c>
      <c r="B163" s="101" t="s">
        <v>704</v>
      </c>
      <c r="C163" s="101"/>
      <c r="D163" s="101"/>
      <c r="E163" s="101"/>
      <c r="F163" s="101"/>
      <c r="G163" s="101"/>
      <c r="H163" s="101"/>
      <c r="I163" s="132"/>
    </row>
    <row r="164" spans="1:9" ht="15.75">
      <c r="A164" s="94"/>
      <c r="B164" s="99" t="s">
        <v>705</v>
      </c>
      <c r="C164" s="99"/>
      <c r="D164" s="99"/>
      <c r="E164" s="99"/>
      <c r="F164" s="102">
        <v>0.03</v>
      </c>
      <c r="G164" s="103">
        <v>0.03</v>
      </c>
      <c r="H164" s="102">
        <v>0.03</v>
      </c>
      <c r="I164" s="102">
        <v>0.03</v>
      </c>
    </row>
    <row r="165" spans="1:9" ht="15.75">
      <c r="A165" s="94"/>
      <c r="B165" s="99" t="s">
        <v>706</v>
      </c>
      <c r="C165" s="99"/>
      <c r="D165" s="99"/>
      <c r="E165" s="99"/>
      <c r="F165" s="102">
        <v>0.0065</v>
      </c>
      <c r="G165" s="103">
        <v>0.0065</v>
      </c>
      <c r="H165" s="102">
        <v>0.0065</v>
      </c>
      <c r="I165" s="102">
        <v>0.0065</v>
      </c>
    </row>
    <row r="166" spans="1:9" ht="15.75">
      <c r="A166" s="94"/>
      <c r="B166" s="99" t="s">
        <v>707</v>
      </c>
      <c r="C166" s="99"/>
      <c r="D166" s="99"/>
      <c r="E166" s="99"/>
      <c r="F166" s="104">
        <v>0.02</v>
      </c>
      <c r="G166" s="105">
        <v>0.035</v>
      </c>
      <c r="H166" s="104">
        <v>0.05</v>
      </c>
      <c r="I166" s="102">
        <v>0.025</v>
      </c>
    </row>
    <row r="167" spans="1:9" ht="15.75">
      <c r="A167" s="94"/>
      <c r="B167" s="99" t="s">
        <v>708</v>
      </c>
      <c r="C167" s="99"/>
      <c r="D167" s="99"/>
      <c r="E167" s="99"/>
      <c r="F167" s="102">
        <v>0.045</v>
      </c>
      <c r="G167" s="103">
        <v>0.045</v>
      </c>
      <c r="H167" s="102">
        <v>0.045</v>
      </c>
      <c r="I167" s="102">
        <v>0.045</v>
      </c>
    </row>
    <row r="168" spans="1:9" ht="15.75">
      <c r="A168" s="94"/>
      <c r="B168" s="100" t="s">
        <v>698</v>
      </c>
      <c r="C168" s="100"/>
      <c r="D168" s="100"/>
      <c r="E168" s="100"/>
      <c r="F168" s="100"/>
      <c r="G168" s="100"/>
      <c r="H168" s="100"/>
      <c r="I168" s="133">
        <v>0.1065</v>
      </c>
    </row>
    <row r="169" spans="1:9" ht="15.75">
      <c r="A169" s="106" t="s">
        <v>709</v>
      </c>
      <c r="B169" s="106"/>
      <c r="C169" s="106"/>
      <c r="D169" s="106"/>
      <c r="E169" s="106"/>
      <c r="F169" s="106"/>
      <c r="G169" s="106"/>
      <c r="H169" s="106"/>
      <c r="I169" s="134">
        <v>0.2431</v>
      </c>
    </row>
    <row r="170" spans="1:9" ht="15.75">
      <c r="A170" s="107"/>
      <c r="B170" s="107"/>
      <c r="C170" s="107"/>
      <c r="D170" s="107"/>
      <c r="E170" s="107"/>
      <c r="F170" s="108"/>
      <c r="G170" s="108"/>
      <c r="H170" s="107"/>
      <c r="I170" s="108"/>
    </row>
    <row r="171" spans="1:9" ht="15.75">
      <c r="A171" s="95" t="s">
        <v>710</v>
      </c>
      <c r="B171" s="95"/>
      <c r="C171" s="95"/>
      <c r="D171" s="95"/>
      <c r="E171" s="95"/>
      <c r="F171" s="95" t="s">
        <v>711</v>
      </c>
      <c r="G171" s="95"/>
      <c r="H171" s="95"/>
      <c r="I171" s="95"/>
    </row>
    <row r="172" spans="1:9" ht="15.75">
      <c r="A172" s="109" t="s">
        <v>712</v>
      </c>
      <c r="B172" s="110" t="s">
        <v>713</v>
      </c>
      <c r="C172" s="110"/>
      <c r="D172" s="110"/>
      <c r="E172" s="110"/>
      <c r="F172" s="111"/>
      <c r="G172" s="111"/>
      <c r="H172" s="111"/>
      <c r="I172" s="111"/>
    </row>
    <row r="173" spans="1:9" ht="15.75">
      <c r="A173" s="112" t="s">
        <v>714</v>
      </c>
      <c r="B173" s="110" t="s">
        <v>715</v>
      </c>
      <c r="C173" s="110"/>
      <c r="D173" s="110"/>
      <c r="E173" s="110"/>
      <c r="F173" s="111"/>
      <c r="G173" s="111"/>
      <c r="H173" s="111"/>
      <c r="I173" s="111"/>
    </row>
    <row r="174" spans="1:9" ht="15.75">
      <c r="A174" s="112" t="s">
        <v>716</v>
      </c>
      <c r="B174" s="110" t="s">
        <v>702</v>
      </c>
      <c r="C174" s="110"/>
      <c r="D174" s="110"/>
      <c r="E174" s="110"/>
      <c r="F174" s="111"/>
      <c r="G174" s="111"/>
      <c r="H174" s="111"/>
      <c r="I174" s="111"/>
    </row>
    <row r="175" spans="1:9" ht="15.75">
      <c r="A175" s="112" t="s">
        <v>717</v>
      </c>
      <c r="B175" s="110" t="s">
        <v>718</v>
      </c>
      <c r="C175" s="110"/>
      <c r="D175" s="110"/>
      <c r="E175" s="110"/>
      <c r="F175" s="111"/>
      <c r="G175" s="111"/>
      <c r="H175" s="111"/>
      <c r="I175" s="111"/>
    </row>
    <row r="176" spans="1:9" ht="15.75">
      <c r="A176" s="107"/>
      <c r="B176" s="107"/>
      <c r="C176" s="107"/>
      <c r="D176" s="107"/>
      <c r="E176" s="107"/>
      <c r="F176" s="111"/>
      <c r="G176" s="111"/>
      <c r="H176" s="111"/>
      <c r="I176" s="111"/>
    </row>
    <row r="177" spans="1:9" ht="15.75">
      <c r="A177" s="113" t="s">
        <v>719</v>
      </c>
      <c r="B177" s="114" t="s">
        <v>720</v>
      </c>
      <c r="C177" s="114" t="s">
        <v>721</v>
      </c>
      <c r="D177" s="114" t="s">
        <v>722</v>
      </c>
      <c r="E177" s="115" t="s">
        <v>723</v>
      </c>
      <c r="F177" s="108"/>
      <c r="G177" s="108"/>
      <c r="H177" s="107"/>
      <c r="I177" s="108"/>
    </row>
    <row r="178" spans="1:9" ht="15.75">
      <c r="A178" s="113"/>
      <c r="B178" s="116"/>
      <c r="C178" s="116" t="s">
        <v>724</v>
      </c>
      <c r="D178" s="116"/>
      <c r="E178" s="115"/>
      <c r="F178" s="108"/>
      <c r="G178" s="108"/>
      <c r="H178" s="107"/>
      <c r="I178" s="108"/>
    </row>
    <row r="179" spans="1:9" ht="15.75">
      <c r="A179" s="107"/>
      <c r="B179" s="107"/>
      <c r="C179" s="107"/>
      <c r="D179" s="107"/>
      <c r="E179" s="107"/>
      <c r="F179" s="108"/>
      <c r="G179" s="108"/>
      <c r="H179" s="107"/>
      <c r="I179" s="108"/>
    </row>
    <row r="180" spans="1:9" ht="15.75">
      <c r="A180" s="107"/>
      <c r="B180" s="107"/>
      <c r="C180" s="107"/>
      <c r="D180" s="107"/>
      <c r="E180" s="107"/>
      <c r="F180" s="108"/>
      <c r="G180" s="108"/>
      <c r="H180" s="107"/>
      <c r="I180" s="108"/>
    </row>
    <row r="181" spans="1:9" ht="15.75">
      <c r="A181" s="113" t="s">
        <v>719</v>
      </c>
      <c r="B181" s="117">
        <v>0.0478</v>
      </c>
      <c r="C181" s="117">
        <v>0.0085</v>
      </c>
      <c r="D181" s="118">
        <v>0.0511</v>
      </c>
      <c r="E181" s="115" t="s">
        <v>723</v>
      </c>
      <c r="F181" s="108"/>
      <c r="G181" s="108"/>
      <c r="H181" s="107"/>
      <c r="I181" s="108"/>
    </row>
    <row r="182" spans="1:9" ht="15.75">
      <c r="A182" s="113"/>
      <c r="B182" s="116"/>
      <c r="C182" s="119">
        <v>0.1065</v>
      </c>
      <c r="D182" s="116"/>
      <c r="E182" s="115"/>
      <c r="F182" s="108"/>
      <c r="G182" s="108"/>
      <c r="H182" s="107"/>
      <c r="I182" s="108"/>
    </row>
    <row r="183" spans="1:9" ht="15.75">
      <c r="A183" s="107"/>
      <c r="B183" s="107"/>
      <c r="C183" s="107"/>
      <c r="D183" s="107"/>
      <c r="E183" s="107"/>
      <c r="F183" s="108"/>
      <c r="G183" s="108"/>
      <c r="H183" s="107"/>
      <c r="I183" s="108"/>
    </row>
    <row r="184" spans="1:9" ht="15.75">
      <c r="A184" s="107"/>
      <c r="B184" s="107"/>
      <c r="C184" s="107"/>
      <c r="D184" s="107"/>
      <c r="E184" s="107"/>
      <c r="F184" s="108"/>
      <c r="G184" s="108"/>
      <c r="H184" s="107"/>
      <c r="I184" s="108"/>
    </row>
    <row r="185" spans="1:9" ht="15.75">
      <c r="A185" s="113" t="s">
        <v>719</v>
      </c>
      <c r="B185" s="120">
        <v>1.0478</v>
      </c>
      <c r="C185" s="120">
        <v>1.0085</v>
      </c>
      <c r="D185" s="121">
        <v>1.0511</v>
      </c>
      <c r="E185" s="115" t="s">
        <v>723</v>
      </c>
      <c r="F185" s="108"/>
      <c r="G185" s="108"/>
      <c r="H185" s="107"/>
      <c r="I185" s="108"/>
    </row>
    <row r="186" spans="1:9" ht="15.75">
      <c r="A186" s="113"/>
      <c r="B186" s="116"/>
      <c r="C186" s="122">
        <v>0.8935</v>
      </c>
      <c r="D186" s="116"/>
      <c r="E186" s="115"/>
      <c r="F186" s="108"/>
      <c r="G186" s="108"/>
      <c r="H186" s="107"/>
      <c r="I186" s="108"/>
    </row>
    <row r="187" spans="1:9" ht="15.75">
      <c r="A187" s="107"/>
      <c r="B187" s="107"/>
      <c r="C187" s="107"/>
      <c r="D187" s="107"/>
      <c r="E187" s="107"/>
      <c r="F187" s="108"/>
      <c r="G187" s="108"/>
      <c r="H187" s="107"/>
      <c r="I187" s="108"/>
    </row>
    <row r="188" spans="1:9" ht="15.75">
      <c r="A188" s="107"/>
      <c r="B188" s="107"/>
      <c r="C188" s="107"/>
      <c r="D188" s="107"/>
      <c r="E188" s="107"/>
      <c r="F188" s="108"/>
      <c r="G188" s="108"/>
      <c r="H188" s="107"/>
      <c r="I188" s="108"/>
    </row>
    <row r="189" spans="1:9" ht="15.75">
      <c r="A189" s="113" t="s">
        <v>719</v>
      </c>
      <c r="B189" s="121">
        <v>1.11070399193</v>
      </c>
      <c r="C189" s="123" t="s">
        <v>725</v>
      </c>
      <c r="D189" s="107"/>
      <c r="E189" s="107"/>
      <c r="F189" s="108"/>
      <c r="G189" s="108"/>
      <c r="H189" s="107"/>
      <c r="I189" s="108"/>
    </row>
    <row r="190" spans="1:9" ht="15.75">
      <c r="A190" s="113"/>
      <c r="B190" s="122">
        <v>0.8935</v>
      </c>
      <c r="C190" s="123"/>
      <c r="D190" s="107"/>
      <c r="E190" s="107"/>
      <c r="F190" s="108"/>
      <c r="G190" s="108"/>
      <c r="H190" s="107"/>
      <c r="I190" s="108"/>
    </row>
    <row r="191" spans="1:9" ht="15.75">
      <c r="A191" s="107"/>
      <c r="B191" s="107"/>
      <c r="C191" s="107"/>
      <c r="D191" s="107"/>
      <c r="E191" s="107"/>
      <c r="F191" s="108"/>
      <c r="G191" s="108"/>
      <c r="H191" s="107"/>
      <c r="I191" s="108"/>
    </row>
    <row r="192" spans="1:9" ht="15.75">
      <c r="A192" s="107"/>
      <c r="B192" s="107"/>
      <c r="C192" s="107"/>
      <c r="D192" s="107"/>
      <c r="E192" s="107"/>
      <c r="F192" s="108"/>
      <c r="G192" s="108"/>
      <c r="H192" s="107"/>
      <c r="I192" s="108"/>
    </row>
    <row r="193" spans="1:9" ht="15.75">
      <c r="A193" s="113" t="s">
        <v>719</v>
      </c>
      <c r="B193" s="124">
        <v>1.24309344368215</v>
      </c>
      <c r="C193" s="123" t="s">
        <v>725</v>
      </c>
      <c r="D193" s="107"/>
      <c r="E193" s="125" t="s">
        <v>719</v>
      </c>
      <c r="F193" s="126">
        <v>0.2431</v>
      </c>
      <c r="G193" s="108"/>
      <c r="H193" s="107"/>
      <c r="I193" s="108"/>
    </row>
    <row r="194" spans="1:9" ht="15.75">
      <c r="A194" s="113"/>
      <c r="B194" s="124"/>
      <c r="C194" s="123"/>
      <c r="D194" s="107"/>
      <c r="E194" s="125"/>
      <c r="F194" s="126"/>
      <c r="G194" s="108"/>
      <c r="H194" s="107"/>
      <c r="I194" s="108"/>
    </row>
    <row r="195" spans="1:9" ht="15.75">
      <c r="A195" s="107"/>
      <c r="B195" s="107"/>
      <c r="C195" s="107"/>
      <c r="D195" s="107"/>
      <c r="E195" s="107"/>
      <c r="F195" s="108"/>
      <c r="G195" s="108"/>
      <c r="H195" s="107"/>
      <c r="I195" s="108"/>
    </row>
    <row r="197" spans="1:9" ht="15.75">
      <c r="A197" s="92" t="s">
        <v>730</v>
      </c>
      <c r="B197" s="88"/>
      <c r="C197" s="88"/>
      <c r="D197" s="88"/>
      <c r="E197" s="88"/>
      <c r="F197" s="88"/>
      <c r="G197" s="88"/>
      <c r="H197" s="88"/>
      <c r="I197" s="129"/>
    </row>
    <row r="198" spans="1:9" ht="15.75">
      <c r="A198" s="127"/>
      <c r="B198" s="128"/>
      <c r="C198" s="128"/>
      <c r="D198" s="128"/>
      <c r="E198" s="128"/>
      <c r="F198" s="128"/>
      <c r="G198" s="128"/>
      <c r="H198" s="128"/>
      <c r="I198" s="135"/>
    </row>
    <row r="199" spans="1:9" ht="15.75">
      <c r="A199" s="93" t="s">
        <v>688</v>
      </c>
      <c r="B199" s="93"/>
      <c r="C199" s="93"/>
      <c r="D199" s="93"/>
      <c r="E199" s="93"/>
      <c r="F199" s="93"/>
      <c r="G199" s="93"/>
      <c r="H199" s="93"/>
      <c r="I199" s="93"/>
    </row>
    <row r="200" spans="1:9" ht="15.75">
      <c r="A200" s="107"/>
      <c r="B200" s="107"/>
      <c r="C200" s="107"/>
      <c r="D200" s="107"/>
      <c r="E200" s="107"/>
      <c r="F200" s="108"/>
      <c r="G200" s="108"/>
      <c r="H200" s="107"/>
      <c r="I200" s="108"/>
    </row>
    <row r="201" spans="1:9" ht="15.75">
      <c r="A201" s="94" t="s">
        <v>689</v>
      </c>
      <c r="B201" s="94"/>
      <c r="C201" s="94"/>
      <c r="D201" s="94"/>
      <c r="E201" s="94"/>
      <c r="F201" s="94" t="s">
        <v>690</v>
      </c>
      <c r="G201" s="94"/>
      <c r="H201" s="94"/>
      <c r="I201" s="94" t="s">
        <v>691</v>
      </c>
    </row>
    <row r="202" spans="1:9" ht="15.75">
      <c r="A202" s="94"/>
      <c r="B202" s="94"/>
      <c r="C202" s="94"/>
      <c r="D202" s="94"/>
      <c r="E202" s="94"/>
      <c r="F202" s="95" t="s">
        <v>692</v>
      </c>
      <c r="G202" s="95" t="s">
        <v>693</v>
      </c>
      <c r="H202" s="95" t="s">
        <v>694</v>
      </c>
      <c r="I202" s="94"/>
    </row>
    <row r="203" spans="1:9" ht="15.75">
      <c r="A203" s="94" t="s">
        <v>695</v>
      </c>
      <c r="B203" s="96" t="s">
        <v>696</v>
      </c>
      <c r="C203" s="96"/>
      <c r="D203" s="96"/>
      <c r="E203" s="96"/>
      <c r="F203" s="97">
        <v>0.015</v>
      </c>
      <c r="G203" s="98">
        <v>0.0345</v>
      </c>
      <c r="H203" s="97">
        <v>0.0449</v>
      </c>
      <c r="I203" s="131">
        <v>0.0345</v>
      </c>
    </row>
    <row r="204" spans="1:9" ht="15.75">
      <c r="A204" s="94"/>
      <c r="B204" s="99" t="s">
        <v>727</v>
      </c>
      <c r="C204" s="99"/>
      <c r="D204" s="99"/>
      <c r="E204" s="99"/>
      <c r="F204" s="97">
        <v>0.003</v>
      </c>
      <c r="G204" s="98">
        <v>0.0048</v>
      </c>
      <c r="H204" s="97">
        <v>0.0082</v>
      </c>
      <c r="I204" s="131">
        <v>0.0048</v>
      </c>
    </row>
    <row r="205" spans="1:9" ht="15.75">
      <c r="A205" s="94"/>
      <c r="B205" s="99" t="s">
        <v>697</v>
      </c>
      <c r="C205" s="99"/>
      <c r="D205" s="99"/>
      <c r="E205" s="99"/>
      <c r="F205" s="97">
        <v>0.0056</v>
      </c>
      <c r="G205" s="98">
        <v>0.0085</v>
      </c>
      <c r="H205" s="97">
        <v>0.0089</v>
      </c>
      <c r="I205" s="131">
        <v>0.0085</v>
      </c>
    </row>
    <row r="206" spans="1:9" ht="15.75">
      <c r="A206" s="94"/>
      <c r="B206" s="100" t="s">
        <v>698</v>
      </c>
      <c r="C206" s="100"/>
      <c r="D206" s="100"/>
      <c r="E206" s="100"/>
      <c r="F206" s="100"/>
      <c r="G206" s="100"/>
      <c r="H206" s="100"/>
      <c r="I206" s="103">
        <v>0.0478</v>
      </c>
    </row>
    <row r="207" spans="1:9" ht="15.75">
      <c r="A207" s="94" t="s">
        <v>699</v>
      </c>
      <c r="B207" s="96" t="s">
        <v>700</v>
      </c>
      <c r="C207" s="96"/>
      <c r="D207" s="96"/>
      <c r="E207" s="96"/>
      <c r="F207" s="97">
        <v>0.0085</v>
      </c>
      <c r="G207" s="98">
        <v>0.0085</v>
      </c>
      <c r="H207" s="97">
        <v>0.0111</v>
      </c>
      <c r="I207" s="102">
        <v>0.0085</v>
      </c>
    </row>
    <row r="208" spans="1:9" ht="15.75">
      <c r="A208" s="94"/>
      <c r="B208" s="100" t="s">
        <v>698</v>
      </c>
      <c r="C208" s="100"/>
      <c r="D208" s="100"/>
      <c r="E208" s="100"/>
      <c r="F208" s="100"/>
      <c r="G208" s="100"/>
      <c r="H208" s="100"/>
      <c r="I208" s="103">
        <v>0.0085</v>
      </c>
    </row>
    <row r="209" spans="1:9" ht="15.75">
      <c r="A209" s="94" t="s">
        <v>701</v>
      </c>
      <c r="B209" s="96" t="s">
        <v>702</v>
      </c>
      <c r="C209" s="96"/>
      <c r="D209" s="96"/>
      <c r="E209" s="96"/>
      <c r="F209" s="97">
        <v>0.035</v>
      </c>
      <c r="G209" s="98">
        <v>0.0511</v>
      </c>
      <c r="H209" s="97">
        <v>0.0622</v>
      </c>
      <c r="I209" s="102">
        <v>0.0511</v>
      </c>
    </row>
    <row r="210" spans="1:9" ht="15.75">
      <c r="A210" s="94"/>
      <c r="B210" s="100" t="s">
        <v>698</v>
      </c>
      <c r="C210" s="100"/>
      <c r="D210" s="100"/>
      <c r="E210" s="100"/>
      <c r="F210" s="100"/>
      <c r="G210" s="100"/>
      <c r="H210" s="100"/>
      <c r="I210" s="103">
        <v>0.0511</v>
      </c>
    </row>
    <row r="211" spans="1:9" ht="15.75">
      <c r="A211" s="94" t="s">
        <v>703</v>
      </c>
      <c r="B211" s="101" t="s">
        <v>704</v>
      </c>
      <c r="C211" s="101"/>
      <c r="D211" s="101"/>
      <c r="E211" s="101"/>
      <c r="F211" s="101"/>
      <c r="G211" s="101"/>
      <c r="H211" s="101"/>
      <c r="I211" s="132"/>
    </row>
    <row r="212" spans="1:9" ht="15.75">
      <c r="A212" s="94"/>
      <c r="B212" s="99" t="s">
        <v>705</v>
      </c>
      <c r="C212" s="99"/>
      <c r="D212" s="99"/>
      <c r="E212" s="99"/>
      <c r="F212" s="102">
        <v>0.03</v>
      </c>
      <c r="G212" s="103">
        <v>0.03</v>
      </c>
      <c r="H212" s="102">
        <v>0.03</v>
      </c>
      <c r="I212" s="102">
        <v>0.03</v>
      </c>
    </row>
    <row r="213" spans="1:9" ht="15.75">
      <c r="A213" s="94"/>
      <c r="B213" s="99" t="s">
        <v>706</v>
      </c>
      <c r="C213" s="99"/>
      <c r="D213" s="99"/>
      <c r="E213" s="99"/>
      <c r="F213" s="102">
        <v>0.0065</v>
      </c>
      <c r="G213" s="103">
        <v>0.0065</v>
      </c>
      <c r="H213" s="102">
        <v>0.0065</v>
      </c>
      <c r="I213" s="102">
        <v>0.0065</v>
      </c>
    </row>
    <row r="214" spans="1:9" ht="15.75">
      <c r="A214" s="94"/>
      <c r="B214" s="99" t="s">
        <v>707</v>
      </c>
      <c r="C214" s="99"/>
      <c r="D214" s="99"/>
      <c r="E214" s="99"/>
      <c r="F214" s="104">
        <v>0.02</v>
      </c>
      <c r="G214" s="105">
        <v>0.035</v>
      </c>
      <c r="H214" s="104">
        <v>0.05</v>
      </c>
      <c r="I214" s="102">
        <v>0.025</v>
      </c>
    </row>
    <row r="215" spans="1:9" ht="15.75">
      <c r="A215" s="94"/>
      <c r="B215" s="99" t="s">
        <v>708</v>
      </c>
      <c r="C215" s="99"/>
      <c r="D215" s="99"/>
      <c r="E215" s="99"/>
      <c r="F215" s="102">
        <v>0.045</v>
      </c>
      <c r="G215" s="103">
        <v>0.045</v>
      </c>
      <c r="H215" s="102">
        <v>0.045</v>
      </c>
      <c r="I215" s="102">
        <v>0.045</v>
      </c>
    </row>
    <row r="216" spans="1:9" ht="15.75">
      <c r="A216" s="94"/>
      <c r="B216" s="100" t="s">
        <v>698</v>
      </c>
      <c r="C216" s="100"/>
      <c r="D216" s="100"/>
      <c r="E216" s="100"/>
      <c r="F216" s="100"/>
      <c r="G216" s="100"/>
      <c r="H216" s="100"/>
      <c r="I216" s="133">
        <v>0.1065</v>
      </c>
    </row>
    <row r="217" spans="1:9" ht="15.75">
      <c r="A217" s="106" t="s">
        <v>709</v>
      </c>
      <c r="B217" s="106"/>
      <c r="C217" s="106"/>
      <c r="D217" s="106"/>
      <c r="E217" s="106"/>
      <c r="F217" s="106"/>
      <c r="G217" s="106"/>
      <c r="H217" s="106"/>
      <c r="I217" s="134">
        <v>0.2431</v>
      </c>
    </row>
    <row r="218" spans="1:9" ht="15.75">
      <c r="A218" s="107"/>
      <c r="B218" s="107"/>
      <c r="C218" s="107"/>
      <c r="D218" s="107"/>
      <c r="E218" s="107"/>
      <c r="F218" s="108"/>
      <c r="G218" s="108"/>
      <c r="H218" s="107"/>
      <c r="I218" s="108"/>
    </row>
    <row r="219" spans="1:9" ht="15.75">
      <c r="A219" s="95" t="s">
        <v>710</v>
      </c>
      <c r="B219" s="95"/>
      <c r="C219" s="95"/>
      <c r="D219" s="95"/>
      <c r="E219" s="95"/>
      <c r="F219" s="95" t="s">
        <v>711</v>
      </c>
      <c r="G219" s="95"/>
      <c r="H219" s="95"/>
      <c r="I219" s="95"/>
    </row>
    <row r="220" spans="1:9" ht="15.75">
      <c r="A220" s="109" t="s">
        <v>712</v>
      </c>
      <c r="B220" s="110" t="s">
        <v>713</v>
      </c>
      <c r="C220" s="110"/>
      <c r="D220" s="110"/>
      <c r="E220" s="110"/>
      <c r="F220" s="111"/>
      <c r="G220" s="111"/>
      <c r="H220" s="111"/>
      <c r="I220" s="111"/>
    </row>
    <row r="221" spans="1:9" ht="15.75">
      <c r="A221" s="112" t="s">
        <v>714</v>
      </c>
      <c r="B221" s="110" t="s">
        <v>715</v>
      </c>
      <c r="C221" s="110"/>
      <c r="D221" s="110"/>
      <c r="E221" s="110"/>
      <c r="F221" s="111"/>
      <c r="G221" s="111"/>
      <c r="H221" s="111"/>
      <c r="I221" s="111"/>
    </row>
    <row r="222" spans="1:9" ht="15.75">
      <c r="A222" s="112" t="s">
        <v>716</v>
      </c>
      <c r="B222" s="110" t="s">
        <v>702</v>
      </c>
      <c r="C222" s="110"/>
      <c r="D222" s="110"/>
      <c r="E222" s="110"/>
      <c r="F222" s="111"/>
      <c r="G222" s="111"/>
      <c r="H222" s="111"/>
      <c r="I222" s="111"/>
    </row>
    <row r="223" spans="1:9" ht="15.75">
      <c r="A223" s="112" t="s">
        <v>717</v>
      </c>
      <c r="B223" s="110" t="s">
        <v>718</v>
      </c>
      <c r="C223" s="110"/>
      <c r="D223" s="110"/>
      <c r="E223" s="110"/>
      <c r="F223" s="111"/>
      <c r="G223" s="111"/>
      <c r="H223" s="111"/>
      <c r="I223" s="111"/>
    </row>
    <row r="224" spans="1:9" ht="15.75">
      <c r="A224" s="107"/>
      <c r="B224" s="107"/>
      <c r="C224" s="107"/>
      <c r="D224" s="107"/>
      <c r="E224" s="107"/>
      <c r="F224" s="111"/>
      <c r="G224" s="111"/>
      <c r="H224" s="111"/>
      <c r="I224" s="111"/>
    </row>
    <row r="225" spans="1:9" ht="15.75">
      <c r="A225" s="113" t="s">
        <v>719</v>
      </c>
      <c r="B225" s="114" t="s">
        <v>720</v>
      </c>
      <c r="C225" s="114" t="s">
        <v>721</v>
      </c>
      <c r="D225" s="114" t="s">
        <v>722</v>
      </c>
      <c r="E225" s="115" t="s">
        <v>723</v>
      </c>
      <c r="F225" s="108"/>
      <c r="G225" s="108"/>
      <c r="H225" s="107"/>
      <c r="I225" s="108"/>
    </row>
    <row r="226" spans="1:9" ht="15.75">
      <c r="A226" s="113"/>
      <c r="B226" s="116"/>
      <c r="C226" s="116" t="s">
        <v>724</v>
      </c>
      <c r="D226" s="116"/>
      <c r="E226" s="115"/>
      <c r="F226" s="108"/>
      <c r="G226" s="108"/>
      <c r="H226" s="107"/>
      <c r="I226" s="108"/>
    </row>
    <row r="227" spans="1:9" ht="15.75">
      <c r="A227" s="107"/>
      <c r="B227" s="107"/>
      <c r="C227" s="107"/>
      <c r="D227" s="107"/>
      <c r="E227" s="107"/>
      <c r="F227" s="108"/>
      <c r="G227" s="108"/>
      <c r="H227" s="107"/>
      <c r="I227" s="108"/>
    </row>
    <row r="228" spans="1:9" ht="15.75">
      <c r="A228" s="107"/>
      <c r="B228" s="107"/>
      <c r="C228" s="107"/>
      <c r="D228" s="107"/>
      <c r="E228" s="107"/>
      <c r="F228" s="108"/>
      <c r="G228" s="108"/>
      <c r="H228" s="107"/>
      <c r="I228" s="108"/>
    </row>
    <row r="229" spans="1:9" ht="15.75">
      <c r="A229" s="113" t="s">
        <v>719</v>
      </c>
      <c r="B229" s="117">
        <v>0.0478</v>
      </c>
      <c r="C229" s="117">
        <v>0.0085</v>
      </c>
      <c r="D229" s="118">
        <v>0.0511</v>
      </c>
      <c r="E229" s="115" t="s">
        <v>723</v>
      </c>
      <c r="F229" s="108"/>
      <c r="G229" s="108"/>
      <c r="H229" s="107"/>
      <c r="I229" s="108"/>
    </row>
    <row r="230" spans="1:9" ht="15.75">
      <c r="A230" s="113"/>
      <c r="B230" s="116"/>
      <c r="C230" s="119">
        <v>0.1065</v>
      </c>
      <c r="D230" s="116"/>
      <c r="E230" s="115"/>
      <c r="F230" s="108"/>
      <c r="G230" s="108"/>
      <c r="H230" s="107"/>
      <c r="I230" s="108"/>
    </row>
    <row r="231" spans="1:9" ht="15.75">
      <c r="A231" s="107"/>
      <c r="B231" s="107"/>
      <c r="C231" s="107"/>
      <c r="D231" s="107"/>
      <c r="E231" s="107"/>
      <c r="F231" s="108"/>
      <c r="G231" s="108"/>
      <c r="H231" s="107"/>
      <c r="I231" s="108"/>
    </row>
    <row r="232" spans="1:9" ht="15.75">
      <c r="A232" s="107"/>
      <c r="B232" s="107"/>
      <c r="C232" s="107"/>
      <c r="D232" s="107"/>
      <c r="E232" s="107"/>
      <c r="F232" s="108"/>
      <c r="G232" s="108"/>
      <c r="H232" s="107"/>
      <c r="I232" s="108"/>
    </row>
    <row r="233" spans="1:9" ht="15.75">
      <c r="A233" s="113" t="s">
        <v>719</v>
      </c>
      <c r="B233" s="120">
        <v>1.0478</v>
      </c>
      <c r="C233" s="120">
        <v>1.0085</v>
      </c>
      <c r="D233" s="121">
        <v>1.0511</v>
      </c>
      <c r="E233" s="115" t="s">
        <v>723</v>
      </c>
      <c r="F233" s="108"/>
      <c r="G233" s="108"/>
      <c r="H233" s="107"/>
      <c r="I233" s="108"/>
    </row>
    <row r="234" spans="1:9" ht="15.75">
      <c r="A234" s="113"/>
      <c r="B234" s="116"/>
      <c r="C234" s="122">
        <v>0.8935</v>
      </c>
      <c r="D234" s="116"/>
      <c r="E234" s="115"/>
      <c r="F234" s="108"/>
      <c r="G234" s="108"/>
      <c r="H234" s="107"/>
      <c r="I234" s="108"/>
    </row>
    <row r="235" spans="1:9" ht="15.75">
      <c r="A235" s="107"/>
      <c r="B235" s="107"/>
      <c r="C235" s="107"/>
      <c r="D235" s="107"/>
      <c r="E235" s="107"/>
      <c r="F235" s="108"/>
      <c r="G235" s="108"/>
      <c r="H235" s="107"/>
      <c r="I235" s="108"/>
    </row>
    <row r="236" spans="1:9" ht="15.75">
      <c r="A236" s="107"/>
      <c r="B236" s="107"/>
      <c r="C236" s="107"/>
      <c r="D236" s="107"/>
      <c r="E236" s="107"/>
      <c r="F236" s="108"/>
      <c r="G236" s="108"/>
      <c r="H236" s="107"/>
      <c r="I236" s="108"/>
    </row>
    <row r="237" spans="1:9" ht="15.75">
      <c r="A237" s="113" t="s">
        <v>719</v>
      </c>
      <c r="B237" s="121">
        <v>1.11070399193</v>
      </c>
      <c r="C237" s="123" t="s">
        <v>725</v>
      </c>
      <c r="D237" s="107"/>
      <c r="E237" s="107"/>
      <c r="F237" s="108"/>
      <c r="G237" s="108"/>
      <c r="H237" s="107"/>
      <c r="I237" s="108"/>
    </row>
    <row r="238" spans="1:9" ht="15.75">
      <c r="A238" s="113"/>
      <c r="B238" s="122">
        <v>0.8935</v>
      </c>
      <c r="C238" s="123"/>
      <c r="D238" s="107"/>
      <c r="E238" s="107"/>
      <c r="F238" s="108"/>
      <c r="G238" s="108"/>
      <c r="H238" s="107"/>
      <c r="I238" s="108"/>
    </row>
    <row r="239" spans="1:9" ht="15.75">
      <c r="A239" s="107"/>
      <c r="B239" s="107"/>
      <c r="C239" s="107"/>
      <c r="D239" s="107"/>
      <c r="E239" s="107"/>
      <c r="F239" s="108"/>
      <c r="G239" s="108"/>
      <c r="H239" s="107"/>
      <c r="I239" s="108"/>
    </row>
    <row r="240" spans="1:9" ht="15.75">
      <c r="A240" s="107"/>
      <c r="B240" s="107"/>
      <c r="C240" s="107"/>
      <c r="D240" s="107"/>
      <c r="E240" s="107"/>
      <c r="F240" s="108"/>
      <c r="G240" s="108"/>
      <c r="H240" s="107"/>
      <c r="I240" s="108"/>
    </row>
    <row r="241" spans="1:9" ht="15.75">
      <c r="A241" s="113" t="s">
        <v>719</v>
      </c>
      <c r="B241" s="124">
        <v>1.24309344368215</v>
      </c>
      <c r="C241" s="123" t="s">
        <v>725</v>
      </c>
      <c r="D241" s="107"/>
      <c r="E241" s="125" t="s">
        <v>719</v>
      </c>
      <c r="F241" s="126">
        <v>0.2431</v>
      </c>
      <c r="G241" s="108"/>
      <c r="H241" s="107"/>
      <c r="I241" s="108"/>
    </row>
    <row r="242" spans="1:9" ht="15.75">
      <c r="A242" s="113"/>
      <c r="B242" s="124"/>
      <c r="C242" s="123"/>
      <c r="D242" s="107"/>
      <c r="E242" s="125"/>
      <c r="F242" s="126"/>
      <c r="G242" s="108"/>
      <c r="H242" s="107"/>
      <c r="I242" s="108"/>
    </row>
    <row r="243" spans="1:9" ht="15.75">
      <c r="A243" s="107"/>
      <c r="B243" s="107"/>
      <c r="C243" s="107"/>
      <c r="D243" s="107"/>
      <c r="E243" s="107"/>
      <c r="F243" s="108"/>
      <c r="G243" s="108"/>
      <c r="H243" s="107"/>
      <c r="I243" s="108"/>
    </row>
    <row r="245" spans="1:9" ht="15.75">
      <c r="A245" s="92" t="s">
        <v>731</v>
      </c>
      <c r="B245" s="88"/>
      <c r="C245" s="88"/>
      <c r="D245" s="88"/>
      <c r="E245" s="88"/>
      <c r="F245" s="88"/>
      <c r="G245" s="88"/>
      <c r="H245" s="88"/>
      <c r="I245" s="129"/>
    </row>
    <row r="246" spans="1:9" ht="15.75">
      <c r="A246" s="127"/>
      <c r="B246" s="128"/>
      <c r="C246" s="128"/>
      <c r="D246" s="128"/>
      <c r="E246" s="128"/>
      <c r="F246" s="128"/>
      <c r="G246" s="128"/>
      <c r="H246" s="128"/>
      <c r="I246" s="135"/>
    </row>
    <row r="247" spans="1:9" ht="15.75">
      <c r="A247" s="93" t="s">
        <v>688</v>
      </c>
      <c r="B247" s="93"/>
      <c r="C247" s="93"/>
      <c r="D247" s="93"/>
      <c r="E247" s="93"/>
      <c r="F247" s="93"/>
      <c r="G247" s="93"/>
      <c r="H247" s="93"/>
      <c r="I247" s="93"/>
    </row>
    <row r="248" spans="1:9" ht="15.75">
      <c r="A248" s="107"/>
      <c r="B248" s="107"/>
      <c r="C248" s="107"/>
      <c r="D248" s="107"/>
      <c r="E248" s="107"/>
      <c r="F248" s="108"/>
      <c r="G248" s="108"/>
      <c r="H248" s="107"/>
      <c r="I248" s="108"/>
    </row>
    <row r="249" spans="1:9" ht="15.75">
      <c r="A249" s="94" t="s">
        <v>689</v>
      </c>
      <c r="B249" s="94"/>
      <c r="C249" s="94"/>
      <c r="D249" s="94"/>
      <c r="E249" s="94"/>
      <c r="F249" s="94" t="s">
        <v>690</v>
      </c>
      <c r="G249" s="94"/>
      <c r="H249" s="94"/>
      <c r="I249" s="94" t="s">
        <v>691</v>
      </c>
    </row>
    <row r="250" spans="1:9" ht="15.75">
      <c r="A250" s="94"/>
      <c r="B250" s="94"/>
      <c r="C250" s="94"/>
      <c r="D250" s="94"/>
      <c r="E250" s="94"/>
      <c r="F250" s="95" t="s">
        <v>692</v>
      </c>
      <c r="G250" s="95" t="s">
        <v>693</v>
      </c>
      <c r="H250" s="95" t="s">
        <v>694</v>
      </c>
      <c r="I250" s="94"/>
    </row>
    <row r="251" spans="1:9" ht="15.75">
      <c r="A251" s="94" t="s">
        <v>695</v>
      </c>
      <c r="B251" s="96" t="s">
        <v>696</v>
      </c>
      <c r="C251" s="96"/>
      <c r="D251" s="96"/>
      <c r="E251" s="96"/>
      <c r="F251" s="97">
        <v>0.015</v>
      </c>
      <c r="G251" s="98">
        <v>0.0345</v>
      </c>
      <c r="H251" s="97">
        <v>0.0449</v>
      </c>
      <c r="I251" s="131">
        <v>0.0345</v>
      </c>
    </row>
    <row r="252" spans="1:9" ht="15.75">
      <c r="A252" s="94"/>
      <c r="B252" s="99" t="s">
        <v>727</v>
      </c>
      <c r="C252" s="99"/>
      <c r="D252" s="99"/>
      <c r="E252" s="99"/>
      <c r="F252" s="97">
        <v>0.003</v>
      </c>
      <c r="G252" s="98">
        <v>0.0048</v>
      </c>
      <c r="H252" s="97">
        <v>0.0082</v>
      </c>
      <c r="I252" s="131">
        <v>0.0048</v>
      </c>
    </row>
    <row r="253" spans="1:9" ht="15.75">
      <c r="A253" s="94"/>
      <c r="B253" s="99" t="s">
        <v>697</v>
      </c>
      <c r="C253" s="99"/>
      <c r="D253" s="99"/>
      <c r="E253" s="99"/>
      <c r="F253" s="97">
        <v>0.0056</v>
      </c>
      <c r="G253" s="98">
        <v>0.0085</v>
      </c>
      <c r="H253" s="97">
        <v>0.0089</v>
      </c>
      <c r="I253" s="131">
        <v>0.0085</v>
      </c>
    </row>
    <row r="254" spans="1:9" ht="15.75">
      <c r="A254" s="94"/>
      <c r="B254" s="100" t="s">
        <v>698</v>
      </c>
      <c r="C254" s="100"/>
      <c r="D254" s="100"/>
      <c r="E254" s="100"/>
      <c r="F254" s="100"/>
      <c r="G254" s="100"/>
      <c r="H254" s="100"/>
      <c r="I254" s="103">
        <v>0.0478</v>
      </c>
    </row>
    <row r="255" spans="1:9" ht="15.75">
      <c r="A255" s="94" t="s">
        <v>699</v>
      </c>
      <c r="B255" s="96" t="s">
        <v>700</v>
      </c>
      <c r="C255" s="96"/>
      <c r="D255" s="96"/>
      <c r="E255" s="96"/>
      <c r="F255" s="97">
        <v>0.0085</v>
      </c>
      <c r="G255" s="98">
        <v>0.0085</v>
      </c>
      <c r="H255" s="97">
        <v>0.0111</v>
      </c>
      <c r="I255" s="102">
        <v>0.0085</v>
      </c>
    </row>
    <row r="256" spans="1:9" ht="15.75">
      <c r="A256" s="94"/>
      <c r="B256" s="100" t="s">
        <v>698</v>
      </c>
      <c r="C256" s="100"/>
      <c r="D256" s="100"/>
      <c r="E256" s="100"/>
      <c r="F256" s="100"/>
      <c r="G256" s="100"/>
      <c r="H256" s="100"/>
      <c r="I256" s="103">
        <v>0.0085</v>
      </c>
    </row>
    <row r="257" spans="1:9" ht="15.75">
      <c r="A257" s="94" t="s">
        <v>701</v>
      </c>
      <c r="B257" s="96" t="s">
        <v>702</v>
      </c>
      <c r="C257" s="96"/>
      <c r="D257" s="96"/>
      <c r="E257" s="96"/>
      <c r="F257" s="97">
        <v>0.035</v>
      </c>
      <c r="G257" s="98">
        <v>0.0511</v>
      </c>
      <c r="H257" s="97">
        <v>0.0622</v>
      </c>
      <c r="I257" s="102">
        <v>0.0511</v>
      </c>
    </row>
    <row r="258" spans="1:9" ht="15.75">
      <c r="A258" s="94"/>
      <c r="B258" s="100" t="s">
        <v>698</v>
      </c>
      <c r="C258" s="100"/>
      <c r="D258" s="100"/>
      <c r="E258" s="100"/>
      <c r="F258" s="100"/>
      <c r="G258" s="100"/>
      <c r="H258" s="100"/>
      <c r="I258" s="103">
        <v>0.0511</v>
      </c>
    </row>
    <row r="259" spans="1:9" ht="15.75">
      <c r="A259" s="94" t="s">
        <v>703</v>
      </c>
      <c r="B259" s="101" t="s">
        <v>704</v>
      </c>
      <c r="C259" s="101"/>
      <c r="D259" s="101"/>
      <c r="E259" s="101"/>
      <c r="F259" s="101"/>
      <c r="G259" s="101"/>
      <c r="H259" s="101"/>
      <c r="I259" s="132"/>
    </row>
    <row r="260" spans="1:9" ht="15.75">
      <c r="A260" s="94"/>
      <c r="B260" s="99" t="s">
        <v>705</v>
      </c>
      <c r="C260" s="99"/>
      <c r="D260" s="99"/>
      <c r="E260" s="99"/>
      <c r="F260" s="102">
        <v>0.03</v>
      </c>
      <c r="G260" s="103">
        <v>0.03</v>
      </c>
      <c r="H260" s="102">
        <v>0.03</v>
      </c>
      <c r="I260" s="102">
        <v>0.03</v>
      </c>
    </row>
    <row r="261" spans="1:9" ht="15.75">
      <c r="A261" s="94"/>
      <c r="B261" s="99" t="s">
        <v>706</v>
      </c>
      <c r="C261" s="99"/>
      <c r="D261" s="99"/>
      <c r="E261" s="99"/>
      <c r="F261" s="102">
        <v>0.0065</v>
      </c>
      <c r="G261" s="103">
        <v>0.0065</v>
      </c>
      <c r="H261" s="102">
        <v>0.0065</v>
      </c>
      <c r="I261" s="102">
        <v>0.0065</v>
      </c>
    </row>
    <row r="262" spans="1:9" ht="15.75">
      <c r="A262" s="94"/>
      <c r="B262" s="99" t="s">
        <v>707</v>
      </c>
      <c r="C262" s="99"/>
      <c r="D262" s="99"/>
      <c r="E262" s="99"/>
      <c r="F262" s="104">
        <v>0.02</v>
      </c>
      <c r="G262" s="105">
        <v>0.035</v>
      </c>
      <c r="H262" s="104">
        <v>0.05</v>
      </c>
      <c r="I262" s="102">
        <v>0.025</v>
      </c>
    </row>
    <row r="263" spans="1:9" ht="15.75">
      <c r="A263" s="94"/>
      <c r="B263" s="99" t="s">
        <v>708</v>
      </c>
      <c r="C263" s="99"/>
      <c r="D263" s="99"/>
      <c r="E263" s="99"/>
      <c r="F263" s="102">
        <v>0.045</v>
      </c>
      <c r="G263" s="103">
        <v>0.045</v>
      </c>
      <c r="H263" s="102">
        <v>0.045</v>
      </c>
      <c r="I263" s="102">
        <v>0.045</v>
      </c>
    </row>
    <row r="264" spans="1:9" ht="15.75">
      <c r="A264" s="94"/>
      <c r="B264" s="100" t="s">
        <v>698</v>
      </c>
      <c r="C264" s="100"/>
      <c r="D264" s="100"/>
      <c r="E264" s="100"/>
      <c r="F264" s="100"/>
      <c r="G264" s="100"/>
      <c r="H264" s="100"/>
      <c r="I264" s="133">
        <v>0.1065</v>
      </c>
    </row>
    <row r="265" spans="1:9" ht="15.75">
      <c r="A265" s="106" t="s">
        <v>709</v>
      </c>
      <c r="B265" s="106"/>
      <c r="C265" s="106"/>
      <c r="D265" s="106"/>
      <c r="E265" s="106"/>
      <c r="F265" s="106"/>
      <c r="G265" s="106"/>
      <c r="H265" s="106"/>
      <c r="I265" s="134">
        <v>0.2431</v>
      </c>
    </row>
    <row r="266" spans="1:9" ht="15.75">
      <c r="A266" s="107"/>
      <c r="B266" s="107"/>
      <c r="C266" s="107"/>
      <c r="D266" s="107"/>
      <c r="E266" s="107"/>
      <c r="F266" s="108"/>
      <c r="G266" s="108"/>
      <c r="H266" s="107"/>
      <c r="I266" s="108"/>
    </row>
    <row r="267" spans="1:9" ht="15.75">
      <c r="A267" s="95" t="s">
        <v>710</v>
      </c>
      <c r="B267" s="95"/>
      <c r="C267" s="95"/>
      <c r="D267" s="95"/>
      <c r="E267" s="95"/>
      <c r="F267" s="95" t="s">
        <v>711</v>
      </c>
      <c r="G267" s="95"/>
      <c r="H267" s="95"/>
      <c r="I267" s="95"/>
    </row>
    <row r="268" spans="1:9" ht="15.75">
      <c r="A268" s="109" t="s">
        <v>712</v>
      </c>
      <c r="B268" s="110" t="s">
        <v>713</v>
      </c>
      <c r="C268" s="110"/>
      <c r="D268" s="110"/>
      <c r="E268" s="110"/>
      <c r="F268" s="111"/>
      <c r="G268" s="111"/>
      <c r="H268" s="111"/>
      <c r="I268" s="111"/>
    </row>
    <row r="269" spans="1:9" ht="15.75">
      <c r="A269" s="112" t="s">
        <v>714</v>
      </c>
      <c r="B269" s="110" t="s">
        <v>715</v>
      </c>
      <c r="C269" s="110"/>
      <c r="D269" s="110"/>
      <c r="E269" s="110"/>
      <c r="F269" s="111"/>
      <c r="G269" s="111"/>
      <c r="H269" s="111"/>
      <c r="I269" s="111"/>
    </row>
    <row r="270" spans="1:9" ht="15.75">
      <c r="A270" s="112" t="s">
        <v>716</v>
      </c>
      <c r="B270" s="110" t="s">
        <v>702</v>
      </c>
      <c r="C270" s="110"/>
      <c r="D270" s="110"/>
      <c r="E270" s="110"/>
      <c r="F270" s="111"/>
      <c r="G270" s="111"/>
      <c r="H270" s="111"/>
      <c r="I270" s="111"/>
    </row>
    <row r="271" spans="1:9" ht="15.75">
      <c r="A271" s="112" t="s">
        <v>717</v>
      </c>
      <c r="B271" s="110" t="s">
        <v>718</v>
      </c>
      <c r="C271" s="110"/>
      <c r="D271" s="110"/>
      <c r="E271" s="110"/>
      <c r="F271" s="111"/>
      <c r="G271" s="111"/>
      <c r="H271" s="111"/>
      <c r="I271" s="111"/>
    </row>
    <row r="272" spans="1:9" ht="15.75">
      <c r="A272" s="107"/>
      <c r="B272" s="107"/>
      <c r="C272" s="107"/>
      <c r="D272" s="107"/>
      <c r="E272" s="107"/>
      <c r="F272" s="111"/>
      <c r="G272" s="111"/>
      <c r="H272" s="111"/>
      <c r="I272" s="111"/>
    </row>
    <row r="273" spans="1:9" ht="15.75">
      <c r="A273" s="113" t="s">
        <v>719</v>
      </c>
      <c r="B273" s="114" t="s">
        <v>720</v>
      </c>
      <c r="C273" s="114" t="s">
        <v>721</v>
      </c>
      <c r="D273" s="114" t="s">
        <v>722</v>
      </c>
      <c r="E273" s="115" t="s">
        <v>723</v>
      </c>
      <c r="F273" s="108"/>
      <c r="G273" s="108"/>
      <c r="H273" s="107"/>
      <c r="I273" s="108"/>
    </row>
    <row r="274" spans="1:9" ht="15.75">
      <c r="A274" s="113"/>
      <c r="B274" s="116"/>
      <c r="C274" s="116" t="s">
        <v>724</v>
      </c>
      <c r="D274" s="116"/>
      <c r="E274" s="115"/>
      <c r="F274" s="108"/>
      <c r="G274" s="108"/>
      <c r="H274" s="107"/>
      <c r="I274" s="108"/>
    </row>
    <row r="275" spans="1:9" ht="15.75">
      <c r="A275" s="107"/>
      <c r="B275" s="107"/>
      <c r="C275" s="107"/>
      <c r="D275" s="107"/>
      <c r="E275" s="107"/>
      <c r="F275" s="108"/>
      <c r="G275" s="108"/>
      <c r="H275" s="107"/>
      <c r="I275" s="108"/>
    </row>
    <row r="276" spans="1:9" ht="15.75">
      <c r="A276" s="107"/>
      <c r="B276" s="107"/>
      <c r="C276" s="107"/>
      <c r="D276" s="107"/>
      <c r="E276" s="107"/>
      <c r="F276" s="108"/>
      <c r="G276" s="108"/>
      <c r="H276" s="107"/>
      <c r="I276" s="108"/>
    </row>
    <row r="277" spans="1:9" ht="15.75">
      <c r="A277" s="113" t="s">
        <v>719</v>
      </c>
      <c r="B277" s="117">
        <v>0.0478</v>
      </c>
      <c r="C277" s="117">
        <v>0.0085</v>
      </c>
      <c r="D277" s="118">
        <v>0.0511</v>
      </c>
      <c r="E277" s="115" t="s">
        <v>723</v>
      </c>
      <c r="F277" s="108"/>
      <c r="G277" s="108"/>
      <c r="H277" s="107"/>
      <c r="I277" s="108"/>
    </row>
    <row r="278" spans="1:9" ht="15.75">
      <c r="A278" s="113"/>
      <c r="B278" s="116"/>
      <c r="C278" s="119">
        <v>0.1065</v>
      </c>
      <c r="D278" s="116"/>
      <c r="E278" s="115"/>
      <c r="F278" s="108"/>
      <c r="G278" s="108"/>
      <c r="H278" s="107"/>
      <c r="I278" s="108"/>
    </row>
    <row r="279" spans="1:9" ht="15.75">
      <c r="A279" s="107"/>
      <c r="B279" s="107"/>
      <c r="C279" s="107"/>
      <c r="D279" s="107"/>
      <c r="E279" s="107"/>
      <c r="F279" s="108"/>
      <c r="G279" s="108"/>
      <c r="H279" s="107"/>
      <c r="I279" s="108"/>
    </row>
    <row r="280" spans="1:9" ht="15.75">
      <c r="A280" s="107"/>
      <c r="B280" s="107"/>
      <c r="C280" s="107"/>
      <c r="D280" s="107"/>
      <c r="E280" s="107"/>
      <c r="F280" s="108"/>
      <c r="G280" s="108"/>
      <c r="H280" s="107"/>
      <c r="I280" s="108"/>
    </row>
    <row r="281" spans="1:9" ht="15.75">
      <c r="A281" s="113" t="s">
        <v>719</v>
      </c>
      <c r="B281" s="120">
        <v>1.0478</v>
      </c>
      <c r="C281" s="120">
        <v>1.0085</v>
      </c>
      <c r="D281" s="121">
        <v>1.0511</v>
      </c>
      <c r="E281" s="115" t="s">
        <v>723</v>
      </c>
      <c r="F281" s="108"/>
      <c r="G281" s="108"/>
      <c r="H281" s="107"/>
      <c r="I281" s="108"/>
    </row>
    <row r="282" spans="1:9" ht="15.75">
      <c r="A282" s="113"/>
      <c r="B282" s="116"/>
      <c r="C282" s="122">
        <v>0.8935</v>
      </c>
      <c r="D282" s="116"/>
      <c r="E282" s="115"/>
      <c r="F282" s="108"/>
      <c r="G282" s="108"/>
      <c r="H282" s="107"/>
      <c r="I282" s="108"/>
    </row>
    <row r="283" spans="1:9" ht="15.75">
      <c r="A283" s="107"/>
      <c r="B283" s="107"/>
      <c r="C283" s="107"/>
      <c r="D283" s="107"/>
      <c r="E283" s="107"/>
      <c r="F283" s="108"/>
      <c r="G283" s="108"/>
      <c r="H283" s="107"/>
      <c r="I283" s="108"/>
    </row>
    <row r="284" spans="1:9" ht="15.75">
      <c r="A284" s="107"/>
      <c r="B284" s="107"/>
      <c r="C284" s="107"/>
      <c r="D284" s="107"/>
      <c r="E284" s="107"/>
      <c r="F284" s="108"/>
      <c r="G284" s="108"/>
      <c r="H284" s="107"/>
      <c r="I284" s="108"/>
    </row>
    <row r="285" spans="1:9" ht="15.75">
      <c r="A285" s="113" t="s">
        <v>719</v>
      </c>
      <c r="B285" s="121">
        <v>1.11070399193</v>
      </c>
      <c r="C285" s="123" t="s">
        <v>725</v>
      </c>
      <c r="D285" s="107"/>
      <c r="E285" s="107"/>
      <c r="F285" s="108"/>
      <c r="G285" s="108"/>
      <c r="H285" s="107"/>
      <c r="I285" s="108"/>
    </row>
    <row r="286" spans="1:9" ht="15.75">
      <c r="A286" s="113"/>
      <c r="B286" s="122">
        <v>0.8935</v>
      </c>
      <c r="C286" s="123"/>
      <c r="D286" s="107"/>
      <c r="E286" s="107"/>
      <c r="F286" s="108"/>
      <c r="G286" s="108"/>
      <c r="H286" s="107"/>
      <c r="I286" s="108"/>
    </row>
    <row r="287" spans="1:9" ht="15.75">
      <c r="A287" s="107"/>
      <c r="B287" s="107"/>
      <c r="C287" s="107"/>
      <c r="D287" s="107"/>
      <c r="E287" s="107"/>
      <c r="F287" s="108"/>
      <c r="G287" s="108"/>
      <c r="H287" s="107"/>
      <c r="I287" s="108"/>
    </row>
    <row r="288" spans="1:9" ht="15.75">
      <c r="A288" s="107"/>
      <c r="B288" s="107"/>
      <c r="C288" s="107"/>
      <c r="D288" s="107"/>
      <c r="E288" s="107"/>
      <c r="F288" s="108"/>
      <c r="G288" s="108"/>
      <c r="H288" s="107"/>
      <c r="I288" s="108"/>
    </row>
    <row r="289" spans="1:9" ht="15.75">
      <c r="A289" s="113" t="s">
        <v>719</v>
      </c>
      <c r="B289" s="124">
        <v>1.24309344368215</v>
      </c>
      <c r="C289" s="123" t="s">
        <v>725</v>
      </c>
      <c r="D289" s="107"/>
      <c r="E289" s="125" t="s">
        <v>719</v>
      </c>
      <c r="F289" s="126">
        <v>0.2431</v>
      </c>
      <c r="G289" s="108"/>
      <c r="H289" s="107"/>
      <c r="I289" s="108"/>
    </row>
    <row r="290" spans="1:9" ht="15.75">
      <c r="A290" s="113"/>
      <c r="B290" s="124"/>
      <c r="C290" s="123"/>
      <c r="D290" s="107"/>
      <c r="E290" s="125"/>
      <c r="F290" s="126"/>
      <c r="G290" s="108"/>
      <c r="H290" s="107"/>
      <c r="I290" s="108"/>
    </row>
    <row r="291" spans="1:9" ht="15.75">
      <c r="A291" s="107"/>
      <c r="B291" s="107"/>
      <c r="C291" s="107"/>
      <c r="D291" s="107"/>
      <c r="E291" s="107"/>
      <c r="F291" s="108"/>
      <c r="G291" s="108"/>
      <c r="H291" s="107"/>
      <c r="I291" s="108"/>
    </row>
    <row r="293" spans="1:9" ht="15.75">
      <c r="A293" s="92" t="s">
        <v>732</v>
      </c>
      <c r="B293" s="88"/>
      <c r="C293" s="88"/>
      <c r="D293" s="88"/>
      <c r="E293" s="88"/>
      <c r="F293" s="88"/>
      <c r="G293" s="88"/>
      <c r="H293" s="88"/>
      <c r="I293" s="129"/>
    </row>
    <row r="294" spans="1:9" ht="15.75">
      <c r="A294" s="127"/>
      <c r="B294" s="128"/>
      <c r="C294" s="128"/>
      <c r="D294" s="128"/>
      <c r="E294" s="128"/>
      <c r="F294" s="128"/>
      <c r="G294" s="128"/>
      <c r="H294" s="128"/>
      <c r="I294" s="135"/>
    </row>
    <row r="295" spans="1:9" ht="15.75">
      <c r="A295" s="93" t="s">
        <v>688</v>
      </c>
      <c r="B295" s="93"/>
      <c r="C295" s="93"/>
      <c r="D295" s="93"/>
      <c r="E295" s="93"/>
      <c r="F295" s="93"/>
      <c r="G295" s="93"/>
      <c r="H295" s="93"/>
      <c r="I295" s="93"/>
    </row>
    <row r="296" spans="1:9" ht="15.75">
      <c r="A296" s="107"/>
      <c r="B296" s="107"/>
      <c r="C296" s="107"/>
      <c r="D296" s="107"/>
      <c r="E296" s="107"/>
      <c r="F296" s="108"/>
      <c r="G296" s="108"/>
      <c r="H296" s="107"/>
      <c r="I296" s="108"/>
    </row>
    <row r="297" spans="1:9" ht="15.75">
      <c r="A297" s="94" t="s">
        <v>689</v>
      </c>
      <c r="B297" s="94"/>
      <c r="C297" s="94"/>
      <c r="D297" s="94"/>
      <c r="E297" s="94"/>
      <c r="F297" s="94" t="s">
        <v>690</v>
      </c>
      <c r="G297" s="94"/>
      <c r="H297" s="94"/>
      <c r="I297" s="94" t="s">
        <v>691</v>
      </c>
    </row>
    <row r="298" spans="1:9" ht="15.75">
      <c r="A298" s="94"/>
      <c r="B298" s="94"/>
      <c r="C298" s="94"/>
      <c r="D298" s="94"/>
      <c r="E298" s="94"/>
      <c r="F298" s="95" t="s">
        <v>692</v>
      </c>
      <c r="G298" s="95" t="s">
        <v>693</v>
      </c>
      <c r="H298" s="95" t="s">
        <v>694</v>
      </c>
      <c r="I298" s="94"/>
    </row>
    <row r="299" spans="1:9" ht="15.75">
      <c r="A299" s="94" t="s">
        <v>695</v>
      </c>
      <c r="B299" s="96" t="s">
        <v>696</v>
      </c>
      <c r="C299" s="96"/>
      <c r="D299" s="96"/>
      <c r="E299" s="96"/>
      <c r="F299" s="97">
        <v>0.015</v>
      </c>
      <c r="G299" s="98">
        <v>0.0345</v>
      </c>
      <c r="H299" s="97">
        <v>0.0449</v>
      </c>
      <c r="I299" s="131">
        <v>0.0345</v>
      </c>
    </row>
    <row r="300" spans="1:9" ht="15.75">
      <c r="A300" s="94"/>
      <c r="B300" s="99" t="s">
        <v>727</v>
      </c>
      <c r="C300" s="99"/>
      <c r="D300" s="99"/>
      <c r="E300" s="99"/>
      <c r="F300" s="97">
        <v>0.003</v>
      </c>
      <c r="G300" s="98">
        <v>0.0048</v>
      </c>
      <c r="H300" s="97">
        <v>0.0082</v>
      </c>
      <c r="I300" s="131">
        <v>0.0048</v>
      </c>
    </row>
    <row r="301" spans="1:9" ht="15.75">
      <c r="A301" s="94"/>
      <c r="B301" s="99" t="s">
        <v>697</v>
      </c>
      <c r="C301" s="99"/>
      <c r="D301" s="99"/>
      <c r="E301" s="99"/>
      <c r="F301" s="97">
        <v>0.0056</v>
      </c>
      <c r="G301" s="98">
        <v>0.0085</v>
      </c>
      <c r="H301" s="97">
        <v>0.0089</v>
      </c>
      <c r="I301" s="131">
        <v>0.0085</v>
      </c>
    </row>
    <row r="302" spans="1:9" ht="15.75">
      <c r="A302" s="94"/>
      <c r="B302" s="100" t="s">
        <v>698</v>
      </c>
      <c r="C302" s="100"/>
      <c r="D302" s="100"/>
      <c r="E302" s="100"/>
      <c r="F302" s="100"/>
      <c r="G302" s="100"/>
      <c r="H302" s="100"/>
      <c r="I302" s="103">
        <v>0.0478</v>
      </c>
    </row>
    <row r="303" spans="1:9" ht="15.75">
      <c r="A303" s="94" t="s">
        <v>699</v>
      </c>
      <c r="B303" s="96" t="s">
        <v>700</v>
      </c>
      <c r="C303" s="96"/>
      <c r="D303" s="96"/>
      <c r="E303" s="96"/>
      <c r="F303" s="97">
        <v>0.0085</v>
      </c>
      <c r="G303" s="98">
        <v>0.0085</v>
      </c>
      <c r="H303" s="97">
        <v>0.0111</v>
      </c>
      <c r="I303" s="102">
        <v>0.0085</v>
      </c>
    </row>
    <row r="304" spans="1:9" ht="15.75">
      <c r="A304" s="94"/>
      <c r="B304" s="100" t="s">
        <v>698</v>
      </c>
      <c r="C304" s="100"/>
      <c r="D304" s="100"/>
      <c r="E304" s="100"/>
      <c r="F304" s="100"/>
      <c r="G304" s="100"/>
      <c r="H304" s="100"/>
      <c r="I304" s="103">
        <v>0.0085</v>
      </c>
    </row>
    <row r="305" spans="1:9" ht="15.75">
      <c r="A305" s="94" t="s">
        <v>701</v>
      </c>
      <c r="B305" s="96" t="s">
        <v>702</v>
      </c>
      <c r="C305" s="96"/>
      <c r="D305" s="96"/>
      <c r="E305" s="96"/>
      <c r="F305" s="97">
        <v>0.035</v>
      </c>
      <c r="G305" s="98">
        <v>0.0511</v>
      </c>
      <c r="H305" s="97">
        <v>0.0622</v>
      </c>
      <c r="I305" s="102">
        <v>0.0511</v>
      </c>
    </row>
    <row r="306" spans="1:9" ht="15.75">
      <c r="A306" s="94"/>
      <c r="B306" s="100" t="s">
        <v>698</v>
      </c>
      <c r="C306" s="100"/>
      <c r="D306" s="100"/>
      <c r="E306" s="100"/>
      <c r="F306" s="100"/>
      <c r="G306" s="100"/>
      <c r="H306" s="100"/>
      <c r="I306" s="103">
        <v>0.0511</v>
      </c>
    </row>
    <row r="307" spans="1:9" ht="15.75">
      <c r="A307" s="94" t="s">
        <v>703</v>
      </c>
      <c r="B307" s="101" t="s">
        <v>704</v>
      </c>
      <c r="C307" s="101"/>
      <c r="D307" s="101"/>
      <c r="E307" s="101"/>
      <c r="F307" s="101"/>
      <c r="G307" s="101"/>
      <c r="H307" s="101"/>
      <c r="I307" s="132"/>
    </row>
    <row r="308" spans="1:9" ht="15.75">
      <c r="A308" s="94"/>
      <c r="B308" s="99" t="s">
        <v>705</v>
      </c>
      <c r="C308" s="99"/>
      <c r="D308" s="99"/>
      <c r="E308" s="99"/>
      <c r="F308" s="102">
        <v>0.03</v>
      </c>
      <c r="G308" s="103">
        <v>0.03</v>
      </c>
      <c r="H308" s="102">
        <v>0.03</v>
      </c>
      <c r="I308" s="102">
        <v>0.03</v>
      </c>
    </row>
    <row r="309" spans="1:9" ht="15.75">
      <c r="A309" s="94"/>
      <c r="B309" s="99" t="s">
        <v>706</v>
      </c>
      <c r="C309" s="99"/>
      <c r="D309" s="99"/>
      <c r="E309" s="99"/>
      <c r="F309" s="102">
        <v>0.0065</v>
      </c>
      <c r="G309" s="103">
        <v>0.0065</v>
      </c>
      <c r="H309" s="102">
        <v>0.0065</v>
      </c>
      <c r="I309" s="102">
        <v>0.0065</v>
      </c>
    </row>
    <row r="310" spans="1:9" ht="15.75">
      <c r="A310" s="94"/>
      <c r="B310" s="99" t="s">
        <v>707</v>
      </c>
      <c r="C310" s="99"/>
      <c r="D310" s="99"/>
      <c r="E310" s="99"/>
      <c r="F310" s="104">
        <v>0.02</v>
      </c>
      <c r="G310" s="105">
        <v>0.035</v>
      </c>
      <c r="H310" s="104">
        <v>0.05</v>
      </c>
      <c r="I310" s="102">
        <v>0.025</v>
      </c>
    </row>
    <row r="311" spans="1:9" ht="15.75">
      <c r="A311" s="94"/>
      <c r="B311" s="99" t="s">
        <v>708</v>
      </c>
      <c r="C311" s="99"/>
      <c r="D311" s="99"/>
      <c r="E311" s="99"/>
      <c r="F311" s="102">
        <v>0.045</v>
      </c>
      <c r="G311" s="103">
        <v>0.045</v>
      </c>
      <c r="H311" s="102">
        <v>0.045</v>
      </c>
      <c r="I311" s="102">
        <v>0.045</v>
      </c>
    </row>
    <row r="312" spans="1:9" ht="15.75">
      <c r="A312" s="94"/>
      <c r="B312" s="100" t="s">
        <v>698</v>
      </c>
      <c r="C312" s="100"/>
      <c r="D312" s="100"/>
      <c r="E312" s="100"/>
      <c r="F312" s="100"/>
      <c r="G312" s="100"/>
      <c r="H312" s="100"/>
      <c r="I312" s="133">
        <v>0.1065</v>
      </c>
    </row>
    <row r="313" spans="1:9" ht="15.75">
      <c r="A313" s="106" t="s">
        <v>709</v>
      </c>
      <c r="B313" s="106"/>
      <c r="C313" s="106"/>
      <c r="D313" s="106"/>
      <c r="E313" s="106"/>
      <c r="F313" s="106"/>
      <c r="G313" s="106"/>
      <c r="H313" s="106"/>
      <c r="I313" s="134">
        <v>0.2431</v>
      </c>
    </row>
    <row r="314" spans="1:9" ht="15.75">
      <c r="A314" s="107"/>
      <c r="B314" s="107"/>
      <c r="C314" s="107"/>
      <c r="D314" s="107"/>
      <c r="E314" s="107"/>
      <c r="F314" s="108"/>
      <c r="G314" s="108"/>
      <c r="H314" s="107"/>
      <c r="I314" s="108"/>
    </row>
    <row r="315" spans="1:9" ht="15.75">
      <c r="A315" s="95" t="s">
        <v>710</v>
      </c>
      <c r="B315" s="95"/>
      <c r="C315" s="95"/>
      <c r="D315" s="95"/>
      <c r="E315" s="95"/>
      <c r="F315" s="95" t="s">
        <v>711</v>
      </c>
      <c r="G315" s="95"/>
      <c r="H315" s="95"/>
      <c r="I315" s="95"/>
    </row>
    <row r="316" spans="1:9" ht="15.75">
      <c r="A316" s="109" t="s">
        <v>712</v>
      </c>
      <c r="B316" s="110" t="s">
        <v>713</v>
      </c>
      <c r="C316" s="110"/>
      <c r="D316" s="110"/>
      <c r="E316" s="110"/>
      <c r="F316" s="111"/>
      <c r="G316" s="111"/>
      <c r="H316" s="111"/>
      <c r="I316" s="111"/>
    </row>
    <row r="317" spans="1:9" ht="15.75">
      <c r="A317" s="112" t="s">
        <v>714</v>
      </c>
      <c r="B317" s="110" t="s">
        <v>715</v>
      </c>
      <c r="C317" s="110"/>
      <c r="D317" s="110"/>
      <c r="E317" s="110"/>
      <c r="F317" s="111"/>
      <c r="G317" s="111"/>
      <c r="H317" s="111"/>
      <c r="I317" s="111"/>
    </row>
    <row r="318" spans="1:9" ht="15.75">
      <c r="A318" s="112" t="s">
        <v>716</v>
      </c>
      <c r="B318" s="110" t="s">
        <v>702</v>
      </c>
      <c r="C318" s="110"/>
      <c r="D318" s="110"/>
      <c r="E318" s="110"/>
      <c r="F318" s="111"/>
      <c r="G318" s="111"/>
      <c r="H318" s="111"/>
      <c r="I318" s="111"/>
    </row>
    <row r="319" spans="1:9" ht="15.75">
      <c r="A319" s="112" t="s">
        <v>717</v>
      </c>
      <c r="B319" s="110" t="s">
        <v>718</v>
      </c>
      <c r="C319" s="110"/>
      <c r="D319" s="110"/>
      <c r="E319" s="110"/>
      <c r="F319" s="111"/>
      <c r="G319" s="111"/>
      <c r="H319" s="111"/>
      <c r="I319" s="111"/>
    </row>
    <row r="320" spans="1:9" ht="15.75">
      <c r="A320" s="107"/>
      <c r="B320" s="107"/>
      <c r="C320" s="107"/>
      <c r="D320" s="107"/>
      <c r="E320" s="107"/>
      <c r="F320" s="111"/>
      <c r="G320" s="111"/>
      <c r="H320" s="111"/>
      <c r="I320" s="111"/>
    </row>
    <row r="321" spans="1:9" ht="15.75">
      <c r="A321" s="113" t="s">
        <v>719</v>
      </c>
      <c r="B321" s="114" t="s">
        <v>720</v>
      </c>
      <c r="C321" s="114" t="s">
        <v>721</v>
      </c>
      <c r="D321" s="114" t="s">
        <v>722</v>
      </c>
      <c r="E321" s="115" t="s">
        <v>723</v>
      </c>
      <c r="F321" s="108"/>
      <c r="G321" s="108"/>
      <c r="H321" s="107"/>
      <c r="I321" s="108"/>
    </row>
    <row r="322" spans="1:9" ht="15.75">
      <c r="A322" s="113"/>
      <c r="B322" s="116"/>
      <c r="C322" s="116" t="s">
        <v>724</v>
      </c>
      <c r="D322" s="116"/>
      <c r="E322" s="115"/>
      <c r="F322" s="108"/>
      <c r="G322" s="108"/>
      <c r="H322" s="107"/>
      <c r="I322" s="108"/>
    </row>
    <row r="323" spans="1:9" ht="15.75">
      <c r="A323" s="107"/>
      <c r="B323" s="107"/>
      <c r="C323" s="107"/>
      <c r="D323" s="107"/>
      <c r="E323" s="107"/>
      <c r="F323" s="108"/>
      <c r="G323" s="108"/>
      <c r="H323" s="107"/>
      <c r="I323" s="108"/>
    </row>
    <row r="324" spans="1:9" ht="15.75">
      <c r="A324" s="107"/>
      <c r="B324" s="107"/>
      <c r="C324" s="107"/>
      <c r="D324" s="107"/>
      <c r="E324" s="107"/>
      <c r="F324" s="108"/>
      <c r="G324" s="108"/>
      <c r="H324" s="107"/>
      <c r="I324" s="108"/>
    </row>
    <row r="325" spans="1:9" ht="15.75">
      <c r="A325" s="113" t="s">
        <v>719</v>
      </c>
      <c r="B325" s="117">
        <v>0.0478</v>
      </c>
      <c r="C325" s="117">
        <v>0.0085</v>
      </c>
      <c r="D325" s="118">
        <v>0.0511</v>
      </c>
      <c r="E325" s="115" t="s">
        <v>723</v>
      </c>
      <c r="F325" s="108"/>
      <c r="G325" s="108"/>
      <c r="H325" s="107"/>
      <c r="I325" s="108"/>
    </row>
    <row r="326" spans="1:9" ht="15.75">
      <c r="A326" s="113"/>
      <c r="B326" s="116"/>
      <c r="C326" s="119">
        <v>0.1065</v>
      </c>
      <c r="D326" s="116"/>
      <c r="E326" s="115"/>
      <c r="F326" s="108"/>
      <c r="G326" s="108"/>
      <c r="H326" s="107"/>
      <c r="I326" s="108"/>
    </row>
    <row r="327" spans="1:9" ht="15.75">
      <c r="A327" s="107"/>
      <c r="B327" s="107"/>
      <c r="C327" s="107"/>
      <c r="D327" s="107"/>
      <c r="E327" s="107"/>
      <c r="F327" s="108"/>
      <c r="G327" s="108"/>
      <c r="H327" s="107"/>
      <c r="I327" s="108"/>
    </row>
    <row r="328" spans="1:9" ht="15.75">
      <c r="A328" s="107"/>
      <c r="B328" s="107"/>
      <c r="C328" s="107"/>
      <c r="D328" s="107"/>
      <c r="E328" s="107"/>
      <c r="F328" s="108"/>
      <c r="G328" s="108"/>
      <c r="H328" s="107"/>
      <c r="I328" s="108"/>
    </row>
    <row r="329" spans="1:9" ht="15.75">
      <c r="A329" s="113" t="s">
        <v>719</v>
      </c>
      <c r="B329" s="120">
        <v>1.0478</v>
      </c>
      <c r="C329" s="120">
        <v>1.0085</v>
      </c>
      <c r="D329" s="121">
        <v>1.0511</v>
      </c>
      <c r="E329" s="115" t="s">
        <v>723</v>
      </c>
      <c r="F329" s="108"/>
      <c r="G329" s="108"/>
      <c r="H329" s="107"/>
      <c r="I329" s="108"/>
    </row>
    <row r="330" spans="1:9" ht="15.75">
      <c r="A330" s="113"/>
      <c r="B330" s="116"/>
      <c r="C330" s="122">
        <v>0.8935</v>
      </c>
      <c r="D330" s="116"/>
      <c r="E330" s="115"/>
      <c r="F330" s="108"/>
      <c r="G330" s="108"/>
      <c r="H330" s="107"/>
      <c r="I330" s="108"/>
    </row>
    <row r="331" spans="1:9" ht="15.75">
      <c r="A331" s="107"/>
      <c r="B331" s="107"/>
      <c r="C331" s="107"/>
      <c r="D331" s="107"/>
      <c r="E331" s="107"/>
      <c r="F331" s="108"/>
      <c r="G331" s="108"/>
      <c r="H331" s="107"/>
      <c r="I331" s="108"/>
    </row>
    <row r="332" spans="1:9" ht="15.75">
      <c r="A332" s="107"/>
      <c r="B332" s="107"/>
      <c r="C332" s="107"/>
      <c r="D332" s="107"/>
      <c r="E332" s="107"/>
      <c r="F332" s="108"/>
      <c r="G332" s="108"/>
      <c r="H332" s="107"/>
      <c r="I332" s="108"/>
    </row>
    <row r="333" spans="1:9" ht="15.75">
      <c r="A333" s="113" t="s">
        <v>719</v>
      </c>
      <c r="B333" s="121">
        <v>1.11070399193</v>
      </c>
      <c r="C333" s="123" t="s">
        <v>725</v>
      </c>
      <c r="D333" s="107"/>
      <c r="E333" s="107"/>
      <c r="F333" s="108"/>
      <c r="G333" s="108"/>
      <c r="H333" s="107"/>
      <c r="I333" s="108"/>
    </row>
    <row r="334" spans="1:9" ht="15.75">
      <c r="A334" s="113"/>
      <c r="B334" s="122">
        <v>0.8935</v>
      </c>
      <c r="C334" s="123"/>
      <c r="D334" s="107"/>
      <c r="E334" s="107"/>
      <c r="F334" s="108"/>
      <c r="G334" s="108"/>
      <c r="H334" s="107"/>
      <c r="I334" s="108"/>
    </row>
    <row r="335" spans="1:9" ht="15.75">
      <c r="A335" s="107"/>
      <c r="B335" s="107"/>
      <c r="C335" s="107"/>
      <c r="D335" s="107"/>
      <c r="E335" s="107"/>
      <c r="F335" s="108"/>
      <c r="G335" s="108"/>
      <c r="H335" s="107"/>
      <c r="I335" s="108"/>
    </row>
    <row r="336" spans="1:9" ht="15.75">
      <c r="A336" s="107"/>
      <c r="B336" s="107"/>
      <c r="C336" s="107"/>
      <c r="D336" s="107"/>
      <c r="E336" s="107"/>
      <c r="F336" s="108"/>
      <c r="G336" s="108"/>
      <c r="H336" s="107"/>
      <c r="I336" s="108"/>
    </row>
    <row r="337" spans="1:9" ht="15.75">
      <c r="A337" s="113" t="s">
        <v>719</v>
      </c>
      <c r="B337" s="124">
        <v>1.24309344368215</v>
      </c>
      <c r="C337" s="123" t="s">
        <v>725</v>
      </c>
      <c r="D337" s="107"/>
      <c r="E337" s="125" t="s">
        <v>719</v>
      </c>
      <c r="F337" s="126">
        <v>0.2431</v>
      </c>
      <c r="G337" s="108"/>
      <c r="H337" s="107"/>
      <c r="I337" s="108"/>
    </row>
    <row r="338" spans="1:9" ht="15.75">
      <c r="A338" s="113"/>
      <c r="B338" s="124"/>
      <c r="C338" s="123"/>
      <c r="D338" s="107"/>
      <c r="E338" s="125"/>
      <c r="F338" s="126"/>
      <c r="G338" s="108"/>
      <c r="H338" s="107"/>
      <c r="I338" s="108"/>
    </row>
    <row r="339" spans="1:9" ht="15.75">
      <c r="A339" s="107"/>
      <c r="B339" s="107"/>
      <c r="C339" s="107"/>
      <c r="D339" s="107"/>
      <c r="E339" s="107"/>
      <c r="F339" s="108"/>
      <c r="G339" s="108"/>
      <c r="H339" s="107"/>
      <c r="I339" s="108"/>
    </row>
    <row r="341" spans="1:9" ht="15.75">
      <c r="A341" s="92" t="s">
        <v>733</v>
      </c>
      <c r="B341" s="88"/>
      <c r="C341" s="88"/>
      <c r="D341" s="88"/>
      <c r="E341" s="88"/>
      <c r="F341" s="88"/>
      <c r="G341" s="88"/>
      <c r="H341" s="88"/>
      <c r="I341" s="129"/>
    </row>
    <row r="342" spans="1:9" ht="15.75">
      <c r="A342" s="127"/>
      <c r="B342" s="128"/>
      <c r="C342" s="128"/>
      <c r="D342" s="128"/>
      <c r="E342" s="128"/>
      <c r="F342" s="128"/>
      <c r="G342" s="128"/>
      <c r="H342" s="128"/>
      <c r="I342" s="135"/>
    </row>
    <row r="343" spans="1:9" ht="15.75">
      <c r="A343" s="93" t="s">
        <v>688</v>
      </c>
      <c r="B343" s="93"/>
      <c r="C343" s="93"/>
      <c r="D343" s="93"/>
      <c r="E343" s="93"/>
      <c r="F343" s="93"/>
      <c r="G343" s="93"/>
      <c r="H343" s="93"/>
      <c r="I343" s="93"/>
    </row>
    <row r="344" spans="1:9" ht="15.75">
      <c r="A344" s="107"/>
      <c r="B344" s="107"/>
      <c r="C344" s="107"/>
      <c r="D344" s="107"/>
      <c r="E344" s="107"/>
      <c r="F344" s="108"/>
      <c r="G344" s="108"/>
      <c r="H344" s="107"/>
      <c r="I344" s="108"/>
    </row>
    <row r="345" spans="1:9" ht="15.75">
      <c r="A345" s="94" t="s">
        <v>689</v>
      </c>
      <c r="B345" s="94"/>
      <c r="C345" s="94"/>
      <c r="D345" s="94"/>
      <c r="E345" s="94"/>
      <c r="F345" s="94" t="s">
        <v>690</v>
      </c>
      <c r="G345" s="94"/>
      <c r="H345" s="94"/>
      <c r="I345" s="94" t="s">
        <v>691</v>
      </c>
    </row>
    <row r="346" spans="1:9" ht="15.75">
      <c r="A346" s="94"/>
      <c r="B346" s="94"/>
      <c r="C346" s="94"/>
      <c r="D346" s="94"/>
      <c r="E346" s="94"/>
      <c r="F346" s="95" t="s">
        <v>692</v>
      </c>
      <c r="G346" s="95" t="s">
        <v>693</v>
      </c>
      <c r="H346" s="95" t="s">
        <v>694</v>
      </c>
      <c r="I346" s="94"/>
    </row>
    <row r="347" spans="1:9" ht="15.75">
      <c r="A347" s="94" t="s">
        <v>695</v>
      </c>
      <c r="B347" s="96" t="s">
        <v>696</v>
      </c>
      <c r="C347" s="96"/>
      <c r="D347" s="96"/>
      <c r="E347" s="96"/>
      <c r="F347" s="97">
        <v>0.015</v>
      </c>
      <c r="G347" s="98">
        <v>0.0345</v>
      </c>
      <c r="H347" s="97">
        <v>0.0449</v>
      </c>
      <c r="I347" s="131">
        <v>0.0345</v>
      </c>
    </row>
    <row r="348" spans="1:9" ht="15.75">
      <c r="A348" s="94"/>
      <c r="B348" s="99" t="s">
        <v>727</v>
      </c>
      <c r="C348" s="99"/>
      <c r="D348" s="99"/>
      <c r="E348" s="99"/>
      <c r="F348" s="97">
        <v>0.003</v>
      </c>
      <c r="G348" s="98">
        <v>0.0048</v>
      </c>
      <c r="H348" s="97">
        <v>0.0082</v>
      </c>
      <c r="I348" s="131">
        <v>0.0048</v>
      </c>
    </row>
    <row r="349" spans="1:9" ht="15.75">
      <c r="A349" s="94"/>
      <c r="B349" s="99" t="s">
        <v>697</v>
      </c>
      <c r="C349" s="99"/>
      <c r="D349" s="99"/>
      <c r="E349" s="99"/>
      <c r="F349" s="97">
        <v>0.0056</v>
      </c>
      <c r="G349" s="98">
        <v>0.0085</v>
      </c>
      <c r="H349" s="97">
        <v>0.0089</v>
      </c>
      <c r="I349" s="131">
        <v>0.0085</v>
      </c>
    </row>
    <row r="350" spans="1:9" ht="15.75">
      <c r="A350" s="94"/>
      <c r="B350" s="100" t="s">
        <v>698</v>
      </c>
      <c r="C350" s="100"/>
      <c r="D350" s="100"/>
      <c r="E350" s="100"/>
      <c r="F350" s="100"/>
      <c r="G350" s="100"/>
      <c r="H350" s="100"/>
      <c r="I350" s="103">
        <v>0.0478</v>
      </c>
    </row>
    <row r="351" spans="1:9" ht="15.75">
      <c r="A351" s="94" t="s">
        <v>699</v>
      </c>
      <c r="B351" s="96" t="s">
        <v>700</v>
      </c>
      <c r="C351" s="96"/>
      <c r="D351" s="96"/>
      <c r="E351" s="96"/>
      <c r="F351" s="97">
        <v>0.0085</v>
      </c>
      <c r="G351" s="98">
        <v>0.0085</v>
      </c>
      <c r="H351" s="97">
        <v>0.0111</v>
      </c>
      <c r="I351" s="102">
        <v>0.0085</v>
      </c>
    </row>
    <row r="352" spans="1:9" ht="15.75">
      <c r="A352" s="94"/>
      <c r="B352" s="100" t="s">
        <v>698</v>
      </c>
      <c r="C352" s="100"/>
      <c r="D352" s="100"/>
      <c r="E352" s="100"/>
      <c r="F352" s="100"/>
      <c r="G352" s="100"/>
      <c r="H352" s="100"/>
      <c r="I352" s="103">
        <v>0.0085</v>
      </c>
    </row>
    <row r="353" spans="1:9" ht="15.75">
      <c r="A353" s="94" t="s">
        <v>701</v>
      </c>
      <c r="B353" s="96" t="s">
        <v>702</v>
      </c>
      <c r="C353" s="96"/>
      <c r="D353" s="96"/>
      <c r="E353" s="96"/>
      <c r="F353" s="97">
        <v>0.035</v>
      </c>
      <c r="G353" s="98">
        <v>0.0511</v>
      </c>
      <c r="H353" s="97">
        <v>0.0622</v>
      </c>
      <c r="I353" s="102">
        <v>0.0511</v>
      </c>
    </row>
    <row r="354" spans="1:9" ht="15.75">
      <c r="A354" s="94"/>
      <c r="B354" s="100" t="s">
        <v>698</v>
      </c>
      <c r="C354" s="100"/>
      <c r="D354" s="100"/>
      <c r="E354" s="100"/>
      <c r="F354" s="100"/>
      <c r="G354" s="100"/>
      <c r="H354" s="100"/>
      <c r="I354" s="103">
        <v>0.0511</v>
      </c>
    </row>
    <row r="355" spans="1:9" ht="15.75">
      <c r="A355" s="94" t="s">
        <v>703</v>
      </c>
      <c r="B355" s="101" t="s">
        <v>704</v>
      </c>
      <c r="C355" s="101"/>
      <c r="D355" s="101"/>
      <c r="E355" s="101"/>
      <c r="F355" s="101"/>
      <c r="G355" s="101"/>
      <c r="H355" s="101"/>
      <c r="I355" s="132"/>
    </row>
    <row r="356" spans="1:9" ht="15.75">
      <c r="A356" s="94"/>
      <c r="B356" s="99" t="s">
        <v>705</v>
      </c>
      <c r="C356" s="99"/>
      <c r="D356" s="99"/>
      <c r="E356" s="99"/>
      <c r="F356" s="102">
        <v>0.03</v>
      </c>
      <c r="G356" s="103">
        <v>0.03</v>
      </c>
      <c r="H356" s="102">
        <v>0.03</v>
      </c>
      <c r="I356" s="102">
        <v>0.03</v>
      </c>
    </row>
    <row r="357" spans="1:9" ht="15.75">
      <c r="A357" s="94"/>
      <c r="B357" s="99" t="s">
        <v>706</v>
      </c>
      <c r="C357" s="99"/>
      <c r="D357" s="99"/>
      <c r="E357" s="99"/>
      <c r="F357" s="102">
        <v>0.0065</v>
      </c>
      <c r="G357" s="103">
        <v>0.0065</v>
      </c>
      <c r="H357" s="102">
        <v>0.0065</v>
      </c>
      <c r="I357" s="102">
        <v>0.0065</v>
      </c>
    </row>
    <row r="358" spans="1:9" ht="15.75">
      <c r="A358" s="94"/>
      <c r="B358" s="99" t="s">
        <v>707</v>
      </c>
      <c r="C358" s="99"/>
      <c r="D358" s="99"/>
      <c r="E358" s="99"/>
      <c r="F358" s="104">
        <v>0.02</v>
      </c>
      <c r="G358" s="105">
        <v>0.035</v>
      </c>
      <c r="H358" s="104">
        <v>0.05</v>
      </c>
      <c r="I358" s="102">
        <v>0.025</v>
      </c>
    </row>
    <row r="359" spans="1:9" ht="15.75">
      <c r="A359" s="94"/>
      <c r="B359" s="99" t="s">
        <v>708</v>
      </c>
      <c r="C359" s="99"/>
      <c r="D359" s="99"/>
      <c r="E359" s="99"/>
      <c r="F359" s="102">
        <v>0.045</v>
      </c>
      <c r="G359" s="103">
        <v>0.045</v>
      </c>
      <c r="H359" s="102">
        <v>0.045</v>
      </c>
      <c r="I359" s="102">
        <v>0.045</v>
      </c>
    </row>
    <row r="360" spans="1:9" ht="15.75">
      <c r="A360" s="94"/>
      <c r="B360" s="100" t="s">
        <v>698</v>
      </c>
      <c r="C360" s="100"/>
      <c r="D360" s="100"/>
      <c r="E360" s="100"/>
      <c r="F360" s="100"/>
      <c r="G360" s="100"/>
      <c r="H360" s="100"/>
      <c r="I360" s="133">
        <v>0.1065</v>
      </c>
    </row>
    <row r="361" spans="1:9" ht="15.75">
      <c r="A361" s="106" t="s">
        <v>709</v>
      </c>
      <c r="B361" s="106"/>
      <c r="C361" s="106"/>
      <c r="D361" s="106"/>
      <c r="E361" s="106"/>
      <c r="F361" s="106"/>
      <c r="G361" s="106"/>
      <c r="H361" s="106"/>
      <c r="I361" s="134">
        <v>0.2431</v>
      </c>
    </row>
    <row r="362" spans="1:9" ht="15.75">
      <c r="A362" s="107"/>
      <c r="B362" s="107"/>
      <c r="C362" s="107"/>
      <c r="D362" s="107"/>
      <c r="E362" s="107"/>
      <c r="F362" s="108"/>
      <c r="G362" s="108"/>
      <c r="H362" s="107"/>
      <c r="I362" s="108"/>
    </row>
    <row r="363" spans="1:9" ht="15.75">
      <c r="A363" s="95" t="s">
        <v>710</v>
      </c>
      <c r="B363" s="95"/>
      <c r="C363" s="95"/>
      <c r="D363" s="95"/>
      <c r="E363" s="95"/>
      <c r="F363" s="95" t="s">
        <v>711</v>
      </c>
      <c r="G363" s="95"/>
      <c r="H363" s="95"/>
      <c r="I363" s="95"/>
    </row>
    <row r="364" spans="1:9" ht="15.75">
      <c r="A364" s="109" t="s">
        <v>712</v>
      </c>
      <c r="B364" s="110" t="s">
        <v>713</v>
      </c>
      <c r="C364" s="110"/>
      <c r="D364" s="110"/>
      <c r="E364" s="110"/>
      <c r="F364" s="111"/>
      <c r="G364" s="111"/>
      <c r="H364" s="111"/>
      <c r="I364" s="111"/>
    </row>
    <row r="365" spans="1:9" ht="15.75">
      <c r="A365" s="112" t="s">
        <v>714</v>
      </c>
      <c r="B365" s="110" t="s">
        <v>715</v>
      </c>
      <c r="C365" s="110"/>
      <c r="D365" s="110"/>
      <c r="E365" s="110"/>
      <c r="F365" s="111"/>
      <c r="G365" s="111"/>
      <c r="H365" s="111"/>
      <c r="I365" s="111"/>
    </row>
    <row r="366" spans="1:9" ht="15.75">
      <c r="A366" s="112" t="s">
        <v>716</v>
      </c>
      <c r="B366" s="110" t="s">
        <v>702</v>
      </c>
      <c r="C366" s="110"/>
      <c r="D366" s="110"/>
      <c r="E366" s="110"/>
      <c r="F366" s="111"/>
      <c r="G366" s="111"/>
      <c r="H366" s="111"/>
      <c r="I366" s="111"/>
    </row>
    <row r="367" spans="1:9" ht="15.75">
      <c r="A367" s="112" t="s">
        <v>717</v>
      </c>
      <c r="B367" s="110" t="s">
        <v>718</v>
      </c>
      <c r="C367" s="110"/>
      <c r="D367" s="110"/>
      <c r="E367" s="110"/>
      <c r="F367" s="111"/>
      <c r="G367" s="111"/>
      <c r="H367" s="111"/>
      <c r="I367" s="111"/>
    </row>
    <row r="368" spans="1:9" ht="15.75">
      <c r="A368" s="107"/>
      <c r="B368" s="107"/>
      <c r="C368" s="107"/>
      <c r="D368" s="107"/>
      <c r="E368" s="107"/>
      <c r="F368" s="111"/>
      <c r="G368" s="111"/>
      <c r="H368" s="111"/>
      <c r="I368" s="111"/>
    </row>
    <row r="369" spans="1:9" ht="15.75">
      <c r="A369" s="113" t="s">
        <v>719</v>
      </c>
      <c r="B369" s="114" t="s">
        <v>720</v>
      </c>
      <c r="C369" s="114" t="s">
        <v>721</v>
      </c>
      <c r="D369" s="114" t="s">
        <v>722</v>
      </c>
      <c r="E369" s="115" t="s">
        <v>723</v>
      </c>
      <c r="F369" s="108"/>
      <c r="G369" s="108"/>
      <c r="H369" s="107"/>
      <c r="I369" s="108"/>
    </row>
    <row r="370" spans="1:9" ht="15.75">
      <c r="A370" s="113"/>
      <c r="B370" s="116"/>
      <c r="C370" s="116" t="s">
        <v>724</v>
      </c>
      <c r="D370" s="116"/>
      <c r="E370" s="115"/>
      <c r="F370" s="108"/>
      <c r="G370" s="108"/>
      <c r="H370" s="107"/>
      <c r="I370" s="108"/>
    </row>
    <row r="371" spans="1:9" ht="15.75">
      <c r="A371" s="107"/>
      <c r="B371" s="107"/>
      <c r="C371" s="107"/>
      <c r="D371" s="107"/>
      <c r="E371" s="107"/>
      <c r="F371" s="108"/>
      <c r="G371" s="108"/>
      <c r="H371" s="107"/>
      <c r="I371" s="108"/>
    </row>
    <row r="372" spans="1:9" ht="15.75">
      <c r="A372" s="107"/>
      <c r="B372" s="107"/>
      <c r="C372" s="107"/>
      <c r="D372" s="107"/>
      <c r="E372" s="107"/>
      <c r="F372" s="108"/>
      <c r="G372" s="108"/>
      <c r="H372" s="107"/>
      <c r="I372" s="108"/>
    </row>
    <row r="373" spans="1:9" ht="15.75">
      <c r="A373" s="113" t="s">
        <v>719</v>
      </c>
      <c r="B373" s="117">
        <v>0.0478</v>
      </c>
      <c r="C373" s="117">
        <v>0.0085</v>
      </c>
      <c r="D373" s="118">
        <v>0.0511</v>
      </c>
      <c r="E373" s="115" t="s">
        <v>723</v>
      </c>
      <c r="F373" s="108"/>
      <c r="G373" s="108"/>
      <c r="H373" s="107"/>
      <c r="I373" s="108"/>
    </row>
    <row r="374" spans="1:9" ht="15.75">
      <c r="A374" s="113"/>
      <c r="B374" s="116"/>
      <c r="C374" s="119">
        <v>0.1065</v>
      </c>
      <c r="D374" s="116"/>
      <c r="E374" s="115"/>
      <c r="F374" s="108"/>
      <c r="G374" s="108"/>
      <c r="H374" s="107"/>
      <c r="I374" s="108"/>
    </row>
    <row r="375" spans="1:9" ht="15.75">
      <c r="A375" s="107"/>
      <c r="B375" s="107"/>
      <c r="C375" s="107"/>
      <c r="D375" s="107"/>
      <c r="E375" s="107"/>
      <c r="F375" s="108"/>
      <c r="G375" s="108"/>
      <c r="H375" s="107"/>
      <c r="I375" s="108"/>
    </row>
    <row r="376" spans="1:9" ht="15.75">
      <c r="A376" s="107"/>
      <c r="B376" s="107"/>
      <c r="C376" s="107"/>
      <c r="D376" s="107"/>
      <c r="E376" s="107"/>
      <c r="F376" s="108"/>
      <c r="G376" s="108"/>
      <c r="H376" s="107"/>
      <c r="I376" s="108"/>
    </row>
    <row r="377" spans="1:9" ht="15.75">
      <c r="A377" s="113" t="s">
        <v>719</v>
      </c>
      <c r="B377" s="120">
        <v>1.0478</v>
      </c>
      <c r="C377" s="120">
        <v>1.0085</v>
      </c>
      <c r="D377" s="121">
        <v>1.0511</v>
      </c>
      <c r="E377" s="115" t="s">
        <v>723</v>
      </c>
      <c r="F377" s="108"/>
      <c r="G377" s="108"/>
      <c r="H377" s="107"/>
      <c r="I377" s="108"/>
    </row>
    <row r="378" spans="1:9" ht="15.75">
      <c r="A378" s="113"/>
      <c r="B378" s="116"/>
      <c r="C378" s="122">
        <v>0.8935</v>
      </c>
      <c r="D378" s="116"/>
      <c r="E378" s="115"/>
      <c r="F378" s="108"/>
      <c r="G378" s="108"/>
      <c r="H378" s="107"/>
      <c r="I378" s="108"/>
    </row>
    <row r="379" spans="1:9" ht="15.75">
      <c r="A379" s="107"/>
      <c r="B379" s="107"/>
      <c r="C379" s="107"/>
      <c r="D379" s="107"/>
      <c r="E379" s="107"/>
      <c r="F379" s="108"/>
      <c r="G379" s="108"/>
      <c r="H379" s="107"/>
      <c r="I379" s="108"/>
    </row>
    <row r="380" spans="1:9" ht="15.75">
      <c r="A380" s="107"/>
      <c r="B380" s="107"/>
      <c r="C380" s="107"/>
      <c r="D380" s="107"/>
      <c r="E380" s="107"/>
      <c r="F380" s="108"/>
      <c r="G380" s="108"/>
      <c r="H380" s="107"/>
      <c r="I380" s="108"/>
    </row>
    <row r="381" spans="1:9" ht="15.75">
      <c r="A381" s="113" t="s">
        <v>719</v>
      </c>
      <c r="B381" s="121">
        <v>1.11070399193</v>
      </c>
      <c r="C381" s="123" t="s">
        <v>725</v>
      </c>
      <c r="D381" s="107"/>
      <c r="E381" s="107"/>
      <c r="F381" s="108"/>
      <c r="G381" s="108"/>
      <c r="H381" s="107"/>
      <c r="I381" s="108"/>
    </row>
    <row r="382" spans="1:9" ht="15.75">
      <c r="A382" s="113"/>
      <c r="B382" s="122">
        <v>0.8935</v>
      </c>
      <c r="C382" s="123"/>
      <c r="D382" s="107"/>
      <c r="E382" s="107"/>
      <c r="F382" s="108"/>
      <c r="G382" s="108"/>
      <c r="H382" s="107"/>
      <c r="I382" s="108"/>
    </row>
    <row r="383" spans="1:9" ht="15.75">
      <c r="A383" s="107"/>
      <c r="B383" s="107"/>
      <c r="C383" s="107"/>
      <c r="D383" s="107"/>
      <c r="E383" s="107"/>
      <c r="F383" s="108"/>
      <c r="G383" s="108"/>
      <c r="H383" s="107"/>
      <c r="I383" s="108"/>
    </row>
    <row r="384" spans="1:9" ht="15.75">
      <c r="A384" s="107"/>
      <c r="B384" s="107"/>
      <c r="C384" s="107"/>
      <c r="D384" s="107"/>
      <c r="E384" s="107"/>
      <c r="F384" s="108"/>
      <c r="G384" s="108"/>
      <c r="H384" s="107"/>
      <c r="I384" s="108"/>
    </row>
    <row r="385" spans="1:9" ht="15.75">
      <c r="A385" s="113" t="s">
        <v>719</v>
      </c>
      <c r="B385" s="124">
        <v>1.24309344368215</v>
      </c>
      <c r="C385" s="123" t="s">
        <v>725</v>
      </c>
      <c r="D385" s="107"/>
      <c r="E385" s="125" t="s">
        <v>719</v>
      </c>
      <c r="F385" s="126">
        <v>0.2431</v>
      </c>
      <c r="G385" s="108"/>
      <c r="H385" s="107"/>
      <c r="I385" s="108"/>
    </row>
    <row r="386" spans="1:9" ht="15.75">
      <c r="A386" s="113"/>
      <c r="B386" s="124"/>
      <c r="C386" s="123"/>
      <c r="D386" s="107"/>
      <c r="E386" s="125"/>
      <c r="F386" s="126"/>
      <c r="G386" s="108"/>
      <c r="H386" s="107"/>
      <c r="I386" s="108"/>
    </row>
    <row r="387" spans="1:9" ht="15.75">
      <c r="A387" s="107"/>
      <c r="B387" s="107"/>
      <c r="C387" s="107"/>
      <c r="D387" s="107"/>
      <c r="E387" s="107"/>
      <c r="F387" s="108"/>
      <c r="G387" s="108"/>
      <c r="H387" s="107"/>
      <c r="I387" s="108"/>
    </row>
    <row r="388" spans="1:9" ht="15.75">
      <c r="A388" s="136" t="s">
        <v>734</v>
      </c>
      <c r="B388" s="136"/>
      <c r="C388" s="136"/>
      <c r="D388" s="136"/>
      <c r="E388" s="136"/>
      <c r="F388" s="136"/>
      <c r="G388" s="136"/>
      <c r="H388" s="136"/>
      <c r="I388" s="136"/>
    </row>
    <row r="389" spans="1:9" ht="15.75">
      <c r="A389" s="136" t="s">
        <v>735</v>
      </c>
      <c r="B389" s="136"/>
      <c r="C389" s="136"/>
      <c r="D389" s="136"/>
      <c r="E389" s="136"/>
      <c r="F389" s="136"/>
      <c r="G389" s="136"/>
      <c r="H389" s="136"/>
      <c r="I389" s="136"/>
    </row>
    <row r="390" spans="1:9" ht="12.75">
      <c r="A390" s="137" t="s">
        <v>736</v>
      </c>
      <c r="B390" s="137"/>
      <c r="C390" s="137"/>
      <c r="D390" s="137"/>
      <c r="E390" s="137"/>
      <c r="F390" s="137"/>
      <c r="G390" s="137"/>
      <c r="H390" s="137"/>
      <c r="I390" s="137"/>
    </row>
    <row r="391" spans="1:9" ht="12.75">
      <c r="A391" s="137"/>
      <c r="B391" s="137"/>
      <c r="C391" s="137"/>
      <c r="D391" s="137"/>
      <c r="E391" s="137"/>
      <c r="F391" s="137"/>
      <c r="G391" s="137"/>
      <c r="H391" s="137"/>
      <c r="I391" s="137"/>
    </row>
    <row r="396" spans="1:9" ht="33.75" customHeight="1">
      <c r="A396" s="92" t="s">
        <v>738</v>
      </c>
      <c r="B396" s="88"/>
      <c r="C396" s="88"/>
      <c r="D396" s="88"/>
      <c r="E396" s="88"/>
      <c r="F396" s="88"/>
      <c r="G396" s="88"/>
      <c r="H396" s="88"/>
      <c r="I396" s="129"/>
    </row>
    <row r="397" spans="1:9" ht="15.75">
      <c r="A397" s="127"/>
      <c r="B397" s="128"/>
      <c r="C397" s="128"/>
      <c r="D397" s="128"/>
      <c r="E397" s="128"/>
      <c r="F397" s="128"/>
      <c r="G397" s="128"/>
      <c r="H397" s="128"/>
      <c r="I397" s="135"/>
    </row>
    <row r="398" spans="1:9" ht="15.75">
      <c r="A398" s="93" t="s">
        <v>688</v>
      </c>
      <c r="B398" s="93"/>
      <c r="C398" s="93"/>
      <c r="D398" s="93"/>
      <c r="E398" s="93"/>
      <c r="F398" s="93"/>
      <c r="G398" s="93"/>
      <c r="H398" s="93"/>
      <c r="I398" s="93"/>
    </row>
    <row r="399" spans="1:9" ht="15.75">
      <c r="A399" s="107"/>
      <c r="B399" s="107"/>
      <c r="C399" s="107"/>
      <c r="D399" s="107"/>
      <c r="E399" s="107"/>
      <c r="F399" s="108"/>
      <c r="G399" s="108"/>
      <c r="H399" s="107"/>
      <c r="I399" s="108"/>
    </row>
    <row r="400" spans="1:9" ht="15.75">
      <c r="A400" s="94" t="s">
        <v>689</v>
      </c>
      <c r="B400" s="94"/>
      <c r="C400" s="94"/>
      <c r="D400" s="94"/>
      <c r="E400" s="94"/>
      <c r="F400" s="94" t="s">
        <v>690</v>
      </c>
      <c r="G400" s="94"/>
      <c r="H400" s="94"/>
      <c r="I400" s="94" t="s">
        <v>691</v>
      </c>
    </row>
    <row r="401" spans="1:9" ht="15.75">
      <c r="A401" s="94"/>
      <c r="B401" s="94"/>
      <c r="C401" s="94"/>
      <c r="D401" s="94"/>
      <c r="E401" s="94"/>
      <c r="F401" s="95" t="s">
        <v>692</v>
      </c>
      <c r="G401" s="95" t="s">
        <v>693</v>
      </c>
      <c r="H401" s="95" t="s">
        <v>694</v>
      </c>
      <c r="I401" s="94"/>
    </row>
    <row r="402" spans="1:9" ht="15.75">
      <c r="A402" s="94" t="s">
        <v>695</v>
      </c>
      <c r="B402" s="96" t="s">
        <v>696</v>
      </c>
      <c r="C402" s="96"/>
      <c r="D402" s="96"/>
      <c r="E402" s="96"/>
      <c r="F402" s="97">
        <v>0.015</v>
      </c>
      <c r="G402" s="98">
        <v>0.0345</v>
      </c>
      <c r="H402" s="97">
        <v>0.0449</v>
      </c>
      <c r="I402" s="131">
        <v>0.0345</v>
      </c>
    </row>
    <row r="403" spans="1:9" ht="15.75">
      <c r="A403" s="94"/>
      <c r="B403" s="99" t="s">
        <v>727</v>
      </c>
      <c r="C403" s="99"/>
      <c r="D403" s="99"/>
      <c r="E403" s="99"/>
      <c r="F403" s="97">
        <v>0.003</v>
      </c>
      <c r="G403" s="98">
        <v>0.0048</v>
      </c>
      <c r="H403" s="97">
        <v>0.0082</v>
      </c>
      <c r="I403" s="131">
        <v>0.0048</v>
      </c>
    </row>
    <row r="404" spans="1:9" ht="15.75">
      <c r="A404" s="94"/>
      <c r="B404" s="99" t="s">
        <v>697</v>
      </c>
      <c r="C404" s="99"/>
      <c r="D404" s="99"/>
      <c r="E404" s="99"/>
      <c r="F404" s="97">
        <v>0.0056</v>
      </c>
      <c r="G404" s="98">
        <v>0.0085</v>
      </c>
      <c r="H404" s="97">
        <v>0.0089</v>
      </c>
      <c r="I404" s="131">
        <v>0.0085</v>
      </c>
    </row>
    <row r="405" spans="1:9" ht="15.75">
      <c r="A405" s="94"/>
      <c r="B405" s="100" t="s">
        <v>698</v>
      </c>
      <c r="C405" s="100"/>
      <c r="D405" s="100"/>
      <c r="E405" s="100"/>
      <c r="F405" s="100"/>
      <c r="G405" s="100"/>
      <c r="H405" s="100"/>
      <c r="I405" s="103">
        <v>0.0478</v>
      </c>
    </row>
    <row r="406" spans="1:9" ht="15.75">
      <c r="A406" s="94" t="s">
        <v>699</v>
      </c>
      <c r="B406" s="96" t="s">
        <v>700</v>
      </c>
      <c r="C406" s="96"/>
      <c r="D406" s="96"/>
      <c r="E406" s="96"/>
      <c r="F406" s="97">
        <v>0.0085</v>
      </c>
      <c r="G406" s="98">
        <v>0.0085</v>
      </c>
      <c r="H406" s="97">
        <v>0.0111</v>
      </c>
      <c r="I406" s="102">
        <v>0.0085</v>
      </c>
    </row>
    <row r="407" spans="1:9" ht="15.75">
      <c r="A407" s="94"/>
      <c r="B407" s="100" t="s">
        <v>698</v>
      </c>
      <c r="C407" s="100"/>
      <c r="D407" s="100"/>
      <c r="E407" s="100"/>
      <c r="F407" s="100"/>
      <c r="G407" s="100"/>
      <c r="H407" s="100"/>
      <c r="I407" s="103">
        <v>0.0085</v>
      </c>
    </row>
    <row r="408" spans="1:9" ht="15.75">
      <c r="A408" s="94" t="s">
        <v>701</v>
      </c>
      <c r="B408" s="96" t="s">
        <v>702</v>
      </c>
      <c r="C408" s="96"/>
      <c r="D408" s="96"/>
      <c r="E408" s="96"/>
      <c r="F408" s="97">
        <v>0.035</v>
      </c>
      <c r="G408" s="98">
        <v>0.0511</v>
      </c>
      <c r="H408" s="97">
        <v>0.0622</v>
      </c>
      <c r="I408" s="102">
        <v>0.0511</v>
      </c>
    </row>
    <row r="409" spans="1:9" ht="15.75">
      <c r="A409" s="94"/>
      <c r="B409" s="100" t="s">
        <v>698</v>
      </c>
      <c r="C409" s="100"/>
      <c r="D409" s="100"/>
      <c r="E409" s="100"/>
      <c r="F409" s="100"/>
      <c r="G409" s="100"/>
      <c r="H409" s="100"/>
      <c r="I409" s="103">
        <v>0.0511</v>
      </c>
    </row>
    <row r="410" spans="1:9" ht="15.75">
      <c r="A410" s="94" t="s">
        <v>703</v>
      </c>
      <c r="B410" s="101" t="s">
        <v>704</v>
      </c>
      <c r="C410" s="101"/>
      <c r="D410" s="101"/>
      <c r="E410" s="101"/>
      <c r="F410" s="101"/>
      <c r="G410" s="101"/>
      <c r="H410" s="101"/>
      <c r="I410" s="132"/>
    </row>
    <row r="411" spans="1:9" ht="15.75">
      <c r="A411" s="94"/>
      <c r="B411" s="99" t="s">
        <v>705</v>
      </c>
      <c r="C411" s="99"/>
      <c r="D411" s="99"/>
      <c r="E411" s="99"/>
      <c r="F411" s="102">
        <v>0.03</v>
      </c>
      <c r="G411" s="103">
        <v>0.03</v>
      </c>
      <c r="H411" s="102">
        <v>0.03</v>
      </c>
      <c r="I411" s="102">
        <v>0.03</v>
      </c>
    </row>
    <row r="412" spans="1:9" ht="15.75">
      <c r="A412" s="94"/>
      <c r="B412" s="99" t="s">
        <v>706</v>
      </c>
      <c r="C412" s="99"/>
      <c r="D412" s="99"/>
      <c r="E412" s="99"/>
      <c r="F412" s="102">
        <v>0.0065</v>
      </c>
      <c r="G412" s="103">
        <v>0.0065</v>
      </c>
      <c r="H412" s="102">
        <v>0.0065</v>
      </c>
      <c r="I412" s="102">
        <v>0.0065</v>
      </c>
    </row>
    <row r="413" spans="1:9" ht="15.75">
      <c r="A413" s="94"/>
      <c r="B413" s="99" t="s">
        <v>707</v>
      </c>
      <c r="C413" s="99"/>
      <c r="D413" s="99"/>
      <c r="E413" s="99"/>
      <c r="F413" s="104">
        <v>0.02</v>
      </c>
      <c r="G413" s="105">
        <v>0.035</v>
      </c>
      <c r="H413" s="104">
        <v>0.05</v>
      </c>
      <c r="I413" s="102">
        <v>0</v>
      </c>
    </row>
    <row r="414" spans="1:9" ht="15.75">
      <c r="A414" s="94"/>
      <c r="B414" s="99" t="s">
        <v>708</v>
      </c>
      <c r="C414" s="99"/>
      <c r="D414" s="99"/>
      <c r="E414" s="99"/>
      <c r="F414" s="102">
        <v>0.045</v>
      </c>
      <c r="G414" s="103">
        <v>0.045</v>
      </c>
      <c r="H414" s="102">
        <v>0.045</v>
      </c>
      <c r="I414" s="102">
        <v>0.045</v>
      </c>
    </row>
    <row r="415" spans="1:9" ht="15.75">
      <c r="A415" s="94"/>
      <c r="B415" s="100" t="s">
        <v>698</v>
      </c>
      <c r="C415" s="100"/>
      <c r="D415" s="100"/>
      <c r="E415" s="100"/>
      <c r="F415" s="100"/>
      <c r="G415" s="100"/>
      <c r="H415" s="100"/>
      <c r="I415" s="133">
        <v>0.0815</v>
      </c>
    </row>
    <row r="416" spans="1:9" ht="15.75">
      <c r="A416" s="106" t="s">
        <v>709</v>
      </c>
      <c r="B416" s="106"/>
      <c r="C416" s="106"/>
      <c r="D416" s="106"/>
      <c r="E416" s="106"/>
      <c r="F416" s="106"/>
      <c r="G416" s="106"/>
      <c r="H416" s="106"/>
      <c r="I416" s="134">
        <v>0.2093</v>
      </c>
    </row>
    <row r="417" spans="1:9" ht="15.75">
      <c r="A417" s="107"/>
      <c r="B417" s="107"/>
      <c r="C417" s="107"/>
      <c r="D417" s="107"/>
      <c r="E417" s="107"/>
      <c r="F417" s="108"/>
      <c r="G417" s="108"/>
      <c r="H417" s="107"/>
      <c r="I417" s="108"/>
    </row>
    <row r="418" spans="1:9" ht="15.75">
      <c r="A418" s="95" t="s">
        <v>710</v>
      </c>
      <c r="B418" s="95"/>
      <c r="C418" s="95"/>
      <c r="D418" s="95"/>
      <c r="E418" s="95"/>
      <c r="F418" s="95" t="s">
        <v>711</v>
      </c>
      <c r="G418" s="95"/>
      <c r="H418" s="95"/>
      <c r="I418" s="95"/>
    </row>
    <row r="419" spans="1:9" ht="15.75">
      <c r="A419" s="109" t="s">
        <v>712</v>
      </c>
      <c r="B419" s="110" t="s">
        <v>713</v>
      </c>
      <c r="C419" s="110"/>
      <c r="D419" s="110"/>
      <c r="E419" s="110"/>
      <c r="F419" s="111"/>
      <c r="G419" s="111"/>
      <c r="H419" s="111"/>
      <c r="I419" s="111"/>
    </row>
    <row r="420" spans="1:9" ht="15.75">
      <c r="A420" s="112" t="s">
        <v>714</v>
      </c>
      <c r="B420" s="110" t="s">
        <v>715</v>
      </c>
      <c r="C420" s="110"/>
      <c r="D420" s="110"/>
      <c r="E420" s="110"/>
      <c r="F420" s="111"/>
      <c r="G420" s="111"/>
      <c r="H420" s="111"/>
      <c r="I420" s="111"/>
    </row>
    <row r="421" spans="1:9" ht="15.75">
      <c r="A421" s="112" t="s">
        <v>716</v>
      </c>
      <c r="B421" s="110" t="s">
        <v>702</v>
      </c>
      <c r="C421" s="110"/>
      <c r="D421" s="110"/>
      <c r="E421" s="110"/>
      <c r="F421" s="111"/>
      <c r="G421" s="111"/>
      <c r="H421" s="111"/>
      <c r="I421" s="111"/>
    </row>
    <row r="422" spans="1:9" ht="15.75">
      <c r="A422" s="112" t="s">
        <v>717</v>
      </c>
      <c r="B422" s="110" t="s">
        <v>718</v>
      </c>
      <c r="C422" s="110"/>
      <c r="D422" s="110"/>
      <c r="E422" s="110"/>
      <c r="F422" s="111"/>
      <c r="G422" s="111"/>
      <c r="H422" s="111"/>
      <c r="I422" s="111"/>
    </row>
    <row r="423" spans="1:9" ht="15.75">
      <c r="A423" s="107"/>
      <c r="B423" s="107"/>
      <c r="C423" s="107"/>
      <c r="D423" s="107"/>
      <c r="E423" s="107"/>
      <c r="F423" s="111"/>
      <c r="G423" s="111"/>
      <c r="H423" s="111"/>
      <c r="I423" s="111"/>
    </row>
    <row r="424" spans="1:9" ht="15.75">
      <c r="A424" s="113" t="s">
        <v>719</v>
      </c>
      <c r="B424" s="114" t="s">
        <v>720</v>
      </c>
      <c r="C424" s="114" t="s">
        <v>721</v>
      </c>
      <c r="D424" s="114" t="s">
        <v>722</v>
      </c>
      <c r="E424" s="115" t="s">
        <v>723</v>
      </c>
      <c r="F424" s="108"/>
      <c r="G424" s="108"/>
      <c r="H424" s="107"/>
      <c r="I424" s="108"/>
    </row>
    <row r="425" spans="1:9" ht="15.75">
      <c r="A425" s="113"/>
      <c r="B425" s="116"/>
      <c r="C425" s="116" t="s">
        <v>724</v>
      </c>
      <c r="D425" s="116"/>
      <c r="E425" s="115"/>
      <c r="F425" s="108"/>
      <c r="G425" s="108"/>
      <c r="H425" s="107"/>
      <c r="I425" s="108"/>
    </row>
    <row r="426" spans="1:9" ht="15.75">
      <c r="A426" s="107"/>
      <c r="B426" s="107"/>
      <c r="C426" s="107"/>
      <c r="D426" s="107"/>
      <c r="E426" s="107"/>
      <c r="F426" s="108"/>
      <c r="G426" s="108"/>
      <c r="H426" s="107"/>
      <c r="I426" s="108"/>
    </row>
    <row r="427" spans="1:9" ht="15.75">
      <c r="A427" s="107"/>
      <c r="B427" s="107"/>
      <c r="C427" s="107"/>
      <c r="D427" s="107"/>
      <c r="E427" s="107"/>
      <c r="F427" s="108"/>
      <c r="G427" s="108"/>
      <c r="H427" s="107"/>
      <c r="I427" s="108"/>
    </row>
    <row r="428" spans="1:9" ht="15.75">
      <c r="A428" s="113" t="s">
        <v>719</v>
      </c>
      <c r="B428" s="117">
        <v>0.0478</v>
      </c>
      <c r="C428" s="117">
        <v>0.0085</v>
      </c>
      <c r="D428" s="118">
        <v>0.0511</v>
      </c>
      <c r="E428" s="115" t="s">
        <v>723</v>
      </c>
      <c r="F428" s="108"/>
      <c r="G428" s="108"/>
      <c r="H428" s="107"/>
      <c r="I428" s="108"/>
    </row>
    <row r="429" spans="1:9" ht="15.75">
      <c r="A429" s="113"/>
      <c r="B429" s="116"/>
      <c r="C429" s="119">
        <v>0.0815</v>
      </c>
      <c r="D429" s="116"/>
      <c r="E429" s="115"/>
      <c r="F429" s="108"/>
      <c r="G429" s="108"/>
      <c r="H429" s="107"/>
      <c r="I429" s="108"/>
    </row>
    <row r="430" spans="1:9" ht="15.75">
      <c r="A430" s="107"/>
      <c r="B430" s="107"/>
      <c r="C430" s="107"/>
      <c r="D430" s="107"/>
      <c r="E430" s="107"/>
      <c r="F430" s="108"/>
      <c r="G430" s="108"/>
      <c r="H430" s="107"/>
      <c r="I430" s="108"/>
    </row>
    <row r="431" spans="1:9" ht="15.75">
      <c r="A431" s="107"/>
      <c r="B431" s="107"/>
      <c r="C431" s="107"/>
      <c r="D431" s="107"/>
      <c r="E431" s="107"/>
      <c r="F431" s="108"/>
      <c r="G431" s="108"/>
      <c r="H431" s="107"/>
      <c r="I431" s="108"/>
    </row>
    <row r="432" spans="1:9" ht="15.75">
      <c r="A432" s="113" t="s">
        <v>719</v>
      </c>
      <c r="B432" s="120">
        <v>1.0478</v>
      </c>
      <c r="C432" s="120">
        <v>1.0085</v>
      </c>
      <c r="D432" s="121">
        <v>1.0511</v>
      </c>
      <c r="E432" s="115" t="s">
        <v>723</v>
      </c>
      <c r="F432" s="108"/>
      <c r="G432" s="108"/>
      <c r="H432" s="107"/>
      <c r="I432" s="108"/>
    </row>
    <row r="433" spans="1:9" ht="15.75">
      <c r="A433" s="113"/>
      <c r="B433" s="116"/>
      <c r="C433" s="122">
        <v>0.9185</v>
      </c>
      <c r="D433" s="116"/>
      <c r="E433" s="115"/>
      <c r="F433" s="108"/>
      <c r="G433" s="108"/>
      <c r="H433" s="107"/>
      <c r="I433" s="108"/>
    </row>
    <row r="434" spans="1:9" ht="15.75">
      <c r="A434" s="107"/>
      <c r="B434" s="107"/>
      <c r="C434" s="107"/>
      <c r="D434" s="107"/>
      <c r="E434" s="107"/>
      <c r="F434" s="108"/>
      <c r="G434" s="108"/>
      <c r="H434" s="107"/>
      <c r="I434" s="108"/>
    </row>
    <row r="435" spans="1:9" ht="15.75">
      <c r="A435" s="107"/>
      <c r="B435" s="107"/>
      <c r="C435" s="107"/>
      <c r="D435" s="107"/>
      <c r="E435" s="107"/>
      <c r="F435" s="108"/>
      <c r="G435" s="108"/>
      <c r="H435" s="107"/>
      <c r="I435" s="108"/>
    </row>
    <row r="436" spans="1:9" ht="15.75">
      <c r="A436" s="113" t="s">
        <v>719</v>
      </c>
      <c r="B436" s="121">
        <v>1.11070399193</v>
      </c>
      <c r="C436" s="123" t="s">
        <v>725</v>
      </c>
      <c r="D436" s="107"/>
      <c r="E436" s="107"/>
      <c r="F436" s="108"/>
      <c r="G436" s="108"/>
      <c r="H436" s="107"/>
      <c r="I436" s="108"/>
    </row>
    <row r="437" spans="1:9" ht="15.75">
      <c r="A437" s="113"/>
      <c r="B437" s="122">
        <v>0.9185</v>
      </c>
      <c r="C437" s="123"/>
      <c r="D437" s="107"/>
      <c r="E437" s="107"/>
      <c r="F437" s="108"/>
      <c r="G437" s="108"/>
      <c r="H437" s="107"/>
      <c r="I437" s="108"/>
    </row>
    <row r="438" spans="1:9" ht="15.75">
      <c r="A438" s="107"/>
      <c r="B438" s="107"/>
      <c r="C438" s="107"/>
      <c r="D438" s="107"/>
      <c r="E438" s="107"/>
      <c r="F438" s="108"/>
      <c r="G438" s="108"/>
      <c r="H438" s="107"/>
      <c r="I438" s="108"/>
    </row>
    <row r="439" spans="1:9" ht="15.75">
      <c r="A439" s="107"/>
      <c r="B439" s="107"/>
      <c r="C439" s="107"/>
      <c r="D439" s="107"/>
      <c r="E439" s="107"/>
      <c r="F439" s="108"/>
      <c r="G439" s="108"/>
      <c r="H439" s="107"/>
      <c r="I439" s="108"/>
    </row>
    <row r="440" spans="1:9" ht="15.75">
      <c r="A440" s="113" t="s">
        <v>719</v>
      </c>
      <c r="B440" s="124">
        <v>1.2092585649755</v>
      </c>
      <c r="C440" s="123" t="s">
        <v>725</v>
      </c>
      <c r="D440" s="107"/>
      <c r="E440" s="125" t="s">
        <v>719</v>
      </c>
      <c r="F440" s="126">
        <v>0.2093</v>
      </c>
      <c r="G440" s="108"/>
      <c r="H440" s="107"/>
      <c r="I440" s="108"/>
    </row>
    <row r="441" spans="1:9" ht="15.75">
      <c r="A441" s="113"/>
      <c r="B441" s="124"/>
      <c r="C441" s="123"/>
      <c r="D441" s="107"/>
      <c r="E441" s="125"/>
      <c r="F441" s="126"/>
      <c r="G441" s="108"/>
      <c r="H441" s="107"/>
      <c r="I441" s="108"/>
    </row>
    <row r="442" spans="1:9" ht="15.75">
      <c r="A442" s="107"/>
      <c r="B442" s="107"/>
      <c r="C442" s="107"/>
      <c r="D442" s="107"/>
      <c r="E442" s="107"/>
      <c r="F442" s="108"/>
      <c r="G442" s="108"/>
      <c r="H442" s="107"/>
      <c r="I442" s="108"/>
    </row>
    <row r="443" spans="1:9" ht="15.75">
      <c r="A443" s="136" t="s">
        <v>734</v>
      </c>
      <c r="B443" s="136"/>
      <c r="C443" s="136"/>
      <c r="D443" s="136"/>
      <c r="E443" s="136"/>
      <c r="F443" s="136"/>
      <c r="G443" s="136"/>
      <c r="H443" s="136"/>
      <c r="I443" s="136"/>
    </row>
    <row r="444" spans="1:9" ht="15.75">
      <c r="A444" s="136" t="s">
        <v>735</v>
      </c>
      <c r="B444" s="136"/>
      <c r="C444" s="136"/>
      <c r="D444" s="136"/>
      <c r="E444" s="136"/>
      <c r="F444" s="136"/>
      <c r="G444" s="136"/>
      <c r="H444" s="136"/>
      <c r="I444" s="136"/>
    </row>
    <row r="445" spans="1:9" ht="12.75">
      <c r="A445" s="137" t="s">
        <v>736</v>
      </c>
      <c r="B445" s="137"/>
      <c r="C445" s="137"/>
      <c r="D445" s="137"/>
      <c r="E445" s="137"/>
      <c r="F445" s="137"/>
      <c r="G445" s="137"/>
      <c r="H445" s="137"/>
      <c r="I445" s="137"/>
    </row>
    <row r="446" spans="1:9" ht="12.75">
      <c r="A446" s="137"/>
      <c r="B446" s="137"/>
      <c r="C446" s="137"/>
      <c r="D446" s="137"/>
      <c r="E446" s="137"/>
      <c r="F446" s="137"/>
      <c r="G446" s="137"/>
      <c r="H446" s="137"/>
      <c r="I446" s="137"/>
    </row>
  </sheetData>
  <sheetProtection/>
  <mergeCells count="399">
    <mergeCell ref="A1:I1"/>
    <mergeCell ref="A2:I2"/>
    <mergeCell ref="A3:I3"/>
    <mergeCell ref="A4:I4"/>
    <mergeCell ref="A5:I5"/>
    <mergeCell ref="A6:I6"/>
    <mergeCell ref="A7:I7"/>
    <mergeCell ref="A8:I8"/>
    <mergeCell ref="F9:H9"/>
    <mergeCell ref="B11:E11"/>
    <mergeCell ref="B12:E12"/>
    <mergeCell ref="B13:E13"/>
    <mergeCell ref="B14:H14"/>
    <mergeCell ref="B15:E15"/>
    <mergeCell ref="B16:H16"/>
    <mergeCell ref="B17:E17"/>
    <mergeCell ref="B18:H18"/>
    <mergeCell ref="B19:H19"/>
    <mergeCell ref="B20:E20"/>
    <mergeCell ref="B21:E21"/>
    <mergeCell ref="B22:E22"/>
    <mergeCell ref="B23:E23"/>
    <mergeCell ref="B24:H24"/>
    <mergeCell ref="A25:H25"/>
    <mergeCell ref="A27:E27"/>
    <mergeCell ref="F27:I27"/>
    <mergeCell ref="B28:E28"/>
    <mergeCell ref="B29:E29"/>
    <mergeCell ref="B30:E30"/>
    <mergeCell ref="B31:E31"/>
    <mergeCell ref="A53:I53"/>
    <mergeCell ref="A55:I55"/>
    <mergeCell ref="F57:H57"/>
    <mergeCell ref="B59:E59"/>
    <mergeCell ref="B60:E60"/>
    <mergeCell ref="B61:E61"/>
    <mergeCell ref="B62:H62"/>
    <mergeCell ref="B63:E63"/>
    <mergeCell ref="B64:H64"/>
    <mergeCell ref="B65:E65"/>
    <mergeCell ref="B66:H66"/>
    <mergeCell ref="B67:H67"/>
    <mergeCell ref="B68:E68"/>
    <mergeCell ref="B69:E69"/>
    <mergeCell ref="B70:E70"/>
    <mergeCell ref="B71:E71"/>
    <mergeCell ref="B72:H72"/>
    <mergeCell ref="A73:H73"/>
    <mergeCell ref="A75:E75"/>
    <mergeCell ref="F75:I75"/>
    <mergeCell ref="B76:E76"/>
    <mergeCell ref="B77:E77"/>
    <mergeCell ref="B78:E78"/>
    <mergeCell ref="B79:E79"/>
    <mergeCell ref="A101:I101"/>
    <mergeCell ref="A103:I103"/>
    <mergeCell ref="F105:H105"/>
    <mergeCell ref="B107:E107"/>
    <mergeCell ref="B108:E108"/>
    <mergeCell ref="B109:E109"/>
    <mergeCell ref="B110:H110"/>
    <mergeCell ref="B111:E111"/>
    <mergeCell ref="B112:H112"/>
    <mergeCell ref="B113:E113"/>
    <mergeCell ref="B114:H114"/>
    <mergeCell ref="B115:H115"/>
    <mergeCell ref="B116:E116"/>
    <mergeCell ref="B117:E117"/>
    <mergeCell ref="B118:E118"/>
    <mergeCell ref="B119:E119"/>
    <mergeCell ref="B120:H120"/>
    <mergeCell ref="A121:H121"/>
    <mergeCell ref="A123:E123"/>
    <mergeCell ref="F123:I123"/>
    <mergeCell ref="B124:E124"/>
    <mergeCell ref="B125:E125"/>
    <mergeCell ref="B126:E126"/>
    <mergeCell ref="B127:E127"/>
    <mergeCell ref="A149:I149"/>
    <mergeCell ref="A151:I151"/>
    <mergeCell ref="F153:H153"/>
    <mergeCell ref="B155:E155"/>
    <mergeCell ref="B156:E156"/>
    <mergeCell ref="B157:E157"/>
    <mergeCell ref="B158:H158"/>
    <mergeCell ref="B159:E159"/>
    <mergeCell ref="B160:H160"/>
    <mergeCell ref="B161:E161"/>
    <mergeCell ref="B162:H162"/>
    <mergeCell ref="B163:H163"/>
    <mergeCell ref="B164:E164"/>
    <mergeCell ref="B165:E165"/>
    <mergeCell ref="B166:E166"/>
    <mergeCell ref="B167:E167"/>
    <mergeCell ref="B168:H168"/>
    <mergeCell ref="A169:H169"/>
    <mergeCell ref="A171:E171"/>
    <mergeCell ref="F171:I171"/>
    <mergeCell ref="B172:E172"/>
    <mergeCell ref="B173:E173"/>
    <mergeCell ref="B174:E174"/>
    <mergeCell ref="B175:E175"/>
    <mergeCell ref="A197:I197"/>
    <mergeCell ref="A199:I199"/>
    <mergeCell ref="F201:H201"/>
    <mergeCell ref="B203:E203"/>
    <mergeCell ref="B204:E204"/>
    <mergeCell ref="B205:E205"/>
    <mergeCell ref="B206:H206"/>
    <mergeCell ref="B207:E207"/>
    <mergeCell ref="B208:H208"/>
    <mergeCell ref="B209:E209"/>
    <mergeCell ref="B210:H210"/>
    <mergeCell ref="B211:H211"/>
    <mergeCell ref="B212:E212"/>
    <mergeCell ref="B213:E213"/>
    <mergeCell ref="B214:E214"/>
    <mergeCell ref="B215:E215"/>
    <mergeCell ref="B216:H216"/>
    <mergeCell ref="A217:H217"/>
    <mergeCell ref="A219:E219"/>
    <mergeCell ref="F219:I219"/>
    <mergeCell ref="B220:E220"/>
    <mergeCell ref="B221:E221"/>
    <mergeCell ref="B222:E222"/>
    <mergeCell ref="B223:E223"/>
    <mergeCell ref="A245:I245"/>
    <mergeCell ref="A247:I247"/>
    <mergeCell ref="F249:H249"/>
    <mergeCell ref="B251:E251"/>
    <mergeCell ref="B252:E252"/>
    <mergeCell ref="B253:E253"/>
    <mergeCell ref="B254:H254"/>
    <mergeCell ref="B255:E255"/>
    <mergeCell ref="B256:H256"/>
    <mergeCell ref="B257:E257"/>
    <mergeCell ref="B258:H258"/>
    <mergeCell ref="B259:H259"/>
    <mergeCell ref="B260:E260"/>
    <mergeCell ref="B261:E261"/>
    <mergeCell ref="B262:E262"/>
    <mergeCell ref="B263:E263"/>
    <mergeCell ref="B264:H264"/>
    <mergeCell ref="A265:H265"/>
    <mergeCell ref="A267:E267"/>
    <mergeCell ref="F267:I267"/>
    <mergeCell ref="B268:E268"/>
    <mergeCell ref="B269:E269"/>
    <mergeCell ref="B270:E270"/>
    <mergeCell ref="B271:E271"/>
    <mergeCell ref="A293:I293"/>
    <mergeCell ref="A295:I295"/>
    <mergeCell ref="F297:H297"/>
    <mergeCell ref="B299:E299"/>
    <mergeCell ref="B300:E300"/>
    <mergeCell ref="B301:E301"/>
    <mergeCell ref="B302:H302"/>
    <mergeCell ref="B303:E303"/>
    <mergeCell ref="B304:H304"/>
    <mergeCell ref="B305:E305"/>
    <mergeCell ref="B306:H306"/>
    <mergeCell ref="B307:H307"/>
    <mergeCell ref="B308:E308"/>
    <mergeCell ref="B309:E309"/>
    <mergeCell ref="B310:E310"/>
    <mergeCell ref="B311:E311"/>
    <mergeCell ref="B312:H312"/>
    <mergeCell ref="A313:H313"/>
    <mergeCell ref="A315:E315"/>
    <mergeCell ref="F315:I315"/>
    <mergeCell ref="B316:E316"/>
    <mergeCell ref="B317:E317"/>
    <mergeCell ref="B318:E318"/>
    <mergeCell ref="B319:E319"/>
    <mergeCell ref="A341:I341"/>
    <mergeCell ref="A343:I343"/>
    <mergeCell ref="F345:H345"/>
    <mergeCell ref="B347:E347"/>
    <mergeCell ref="B348:E348"/>
    <mergeCell ref="B349:E349"/>
    <mergeCell ref="B350:H350"/>
    <mergeCell ref="B351:E351"/>
    <mergeCell ref="B352:H352"/>
    <mergeCell ref="B353:E353"/>
    <mergeCell ref="B354:H354"/>
    <mergeCell ref="B355:H355"/>
    <mergeCell ref="B356:E356"/>
    <mergeCell ref="B357:E357"/>
    <mergeCell ref="B358:E358"/>
    <mergeCell ref="B359:E359"/>
    <mergeCell ref="B360:H360"/>
    <mergeCell ref="A361:H361"/>
    <mergeCell ref="A363:E363"/>
    <mergeCell ref="F363:I363"/>
    <mergeCell ref="B364:E364"/>
    <mergeCell ref="B365:E365"/>
    <mergeCell ref="B366:E366"/>
    <mergeCell ref="B367:E367"/>
    <mergeCell ref="A388:I388"/>
    <mergeCell ref="A389:I389"/>
    <mergeCell ref="A396:I396"/>
    <mergeCell ref="A398:I398"/>
    <mergeCell ref="F400:H400"/>
    <mergeCell ref="B402:E402"/>
    <mergeCell ref="B403:E403"/>
    <mergeCell ref="B404:E404"/>
    <mergeCell ref="B405:H405"/>
    <mergeCell ref="B406:E406"/>
    <mergeCell ref="B407:H407"/>
    <mergeCell ref="B408:E408"/>
    <mergeCell ref="B409:H409"/>
    <mergeCell ref="B410:H410"/>
    <mergeCell ref="B411:E411"/>
    <mergeCell ref="B412:E412"/>
    <mergeCell ref="B413:E413"/>
    <mergeCell ref="B414:E414"/>
    <mergeCell ref="B415:H415"/>
    <mergeCell ref="A416:H416"/>
    <mergeCell ref="A418:E418"/>
    <mergeCell ref="F418:I418"/>
    <mergeCell ref="B419:E419"/>
    <mergeCell ref="B420:E420"/>
    <mergeCell ref="B421:E421"/>
    <mergeCell ref="B422:E422"/>
    <mergeCell ref="A443:I443"/>
    <mergeCell ref="A444:I444"/>
    <mergeCell ref="A11:A14"/>
    <mergeCell ref="A15:A16"/>
    <mergeCell ref="A17:A18"/>
    <mergeCell ref="A19:A24"/>
    <mergeCell ref="A33:A34"/>
    <mergeCell ref="A37:A38"/>
    <mergeCell ref="A41:A42"/>
    <mergeCell ref="A45:A46"/>
    <mergeCell ref="A49:A50"/>
    <mergeCell ref="A59:A62"/>
    <mergeCell ref="A63:A64"/>
    <mergeCell ref="A65:A66"/>
    <mergeCell ref="A67:A72"/>
    <mergeCell ref="A81:A82"/>
    <mergeCell ref="A85:A86"/>
    <mergeCell ref="A89:A90"/>
    <mergeCell ref="A93:A94"/>
    <mergeCell ref="A97:A98"/>
    <mergeCell ref="A107:A110"/>
    <mergeCell ref="A111:A112"/>
    <mergeCell ref="A113:A114"/>
    <mergeCell ref="A115:A120"/>
    <mergeCell ref="A129:A130"/>
    <mergeCell ref="A133:A134"/>
    <mergeCell ref="A137:A138"/>
    <mergeCell ref="A141:A142"/>
    <mergeCell ref="A145:A146"/>
    <mergeCell ref="A155:A158"/>
    <mergeCell ref="A159:A160"/>
    <mergeCell ref="A161:A162"/>
    <mergeCell ref="A163:A168"/>
    <mergeCell ref="A177:A178"/>
    <mergeCell ref="A181:A182"/>
    <mergeCell ref="A185:A186"/>
    <mergeCell ref="A189:A190"/>
    <mergeCell ref="A193:A194"/>
    <mergeCell ref="A203:A206"/>
    <mergeCell ref="A207:A208"/>
    <mergeCell ref="A209:A210"/>
    <mergeCell ref="A211:A216"/>
    <mergeCell ref="A225:A226"/>
    <mergeCell ref="A229:A230"/>
    <mergeCell ref="A233:A234"/>
    <mergeCell ref="A237:A238"/>
    <mergeCell ref="A241:A242"/>
    <mergeCell ref="A251:A254"/>
    <mergeCell ref="A255:A256"/>
    <mergeCell ref="A257:A258"/>
    <mergeCell ref="A259:A264"/>
    <mergeCell ref="A273:A274"/>
    <mergeCell ref="A277:A278"/>
    <mergeCell ref="A281:A282"/>
    <mergeCell ref="A285:A286"/>
    <mergeCell ref="A289:A290"/>
    <mergeCell ref="A299:A302"/>
    <mergeCell ref="A303:A304"/>
    <mergeCell ref="A305:A306"/>
    <mergeCell ref="A307:A312"/>
    <mergeCell ref="A321:A322"/>
    <mergeCell ref="A325:A326"/>
    <mergeCell ref="A329:A330"/>
    <mergeCell ref="A333:A334"/>
    <mergeCell ref="A337:A338"/>
    <mergeCell ref="A347:A350"/>
    <mergeCell ref="A351:A352"/>
    <mergeCell ref="A353:A354"/>
    <mergeCell ref="A355:A360"/>
    <mergeCell ref="A369:A370"/>
    <mergeCell ref="A373:A374"/>
    <mergeCell ref="A377:A378"/>
    <mergeCell ref="A381:A382"/>
    <mergeCell ref="A385:A386"/>
    <mergeCell ref="A402:A405"/>
    <mergeCell ref="A406:A407"/>
    <mergeCell ref="A408:A409"/>
    <mergeCell ref="A410:A415"/>
    <mergeCell ref="A424:A425"/>
    <mergeCell ref="A428:A429"/>
    <mergeCell ref="A432:A433"/>
    <mergeCell ref="A436:A437"/>
    <mergeCell ref="A440:A441"/>
    <mergeCell ref="B49:B50"/>
    <mergeCell ref="B97:B98"/>
    <mergeCell ref="B145:B146"/>
    <mergeCell ref="B193:B194"/>
    <mergeCell ref="B241:B242"/>
    <mergeCell ref="B289:B290"/>
    <mergeCell ref="B337:B338"/>
    <mergeCell ref="B385:B386"/>
    <mergeCell ref="B440:B441"/>
    <mergeCell ref="C45:C46"/>
    <mergeCell ref="C49:C50"/>
    <mergeCell ref="C93:C94"/>
    <mergeCell ref="C97:C98"/>
    <mergeCell ref="C141:C142"/>
    <mergeCell ref="C145:C146"/>
    <mergeCell ref="C189:C190"/>
    <mergeCell ref="C193:C194"/>
    <mergeCell ref="C237:C238"/>
    <mergeCell ref="C241:C242"/>
    <mergeCell ref="C285:C286"/>
    <mergeCell ref="C289:C290"/>
    <mergeCell ref="C333:C334"/>
    <mergeCell ref="C337:C338"/>
    <mergeCell ref="C381:C382"/>
    <mergeCell ref="C385:C386"/>
    <mergeCell ref="C436:C437"/>
    <mergeCell ref="C440:C441"/>
    <mergeCell ref="E33:E34"/>
    <mergeCell ref="E37:E38"/>
    <mergeCell ref="E41:E42"/>
    <mergeCell ref="E49:E50"/>
    <mergeCell ref="E81:E82"/>
    <mergeCell ref="E85:E86"/>
    <mergeCell ref="E89:E90"/>
    <mergeCell ref="E97:E98"/>
    <mergeCell ref="E129:E130"/>
    <mergeCell ref="E133:E134"/>
    <mergeCell ref="E137:E138"/>
    <mergeCell ref="E145:E146"/>
    <mergeCell ref="E177:E178"/>
    <mergeCell ref="E181:E182"/>
    <mergeCell ref="E185:E186"/>
    <mergeCell ref="E193:E194"/>
    <mergeCell ref="E225:E226"/>
    <mergeCell ref="E229:E230"/>
    <mergeCell ref="E233:E234"/>
    <mergeCell ref="E241:E242"/>
    <mergeCell ref="E273:E274"/>
    <mergeCell ref="E277:E278"/>
    <mergeCell ref="E281:E282"/>
    <mergeCell ref="E289:E290"/>
    <mergeCell ref="E321:E322"/>
    <mergeCell ref="E325:E326"/>
    <mergeCell ref="E329:E330"/>
    <mergeCell ref="E337:E338"/>
    <mergeCell ref="E369:E370"/>
    <mergeCell ref="E373:E374"/>
    <mergeCell ref="E377:E378"/>
    <mergeCell ref="E385:E386"/>
    <mergeCell ref="E424:E425"/>
    <mergeCell ref="E428:E429"/>
    <mergeCell ref="E432:E433"/>
    <mergeCell ref="E440:E441"/>
    <mergeCell ref="F49:F50"/>
    <mergeCell ref="F97:F98"/>
    <mergeCell ref="F145:F146"/>
    <mergeCell ref="F193:F194"/>
    <mergeCell ref="F241:F242"/>
    <mergeCell ref="F289:F290"/>
    <mergeCell ref="F337:F338"/>
    <mergeCell ref="F385:F386"/>
    <mergeCell ref="F440:F441"/>
    <mergeCell ref="I9:I10"/>
    <mergeCell ref="I57:I58"/>
    <mergeCell ref="I105:I106"/>
    <mergeCell ref="I153:I154"/>
    <mergeCell ref="I201:I202"/>
    <mergeCell ref="I249:I250"/>
    <mergeCell ref="I297:I298"/>
    <mergeCell ref="I345:I346"/>
    <mergeCell ref="I400:I401"/>
    <mergeCell ref="A445:I446"/>
    <mergeCell ref="A57:E58"/>
    <mergeCell ref="A105:E106"/>
    <mergeCell ref="A153:E154"/>
    <mergeCell ref="A9:E10"/>
    <mergeCell ref="A249:E250"/>
    <mergeCell ref="A201:E202"/>
    <mergeCell ref="A400:E401"/>
    <mergeCell ref="A390:I391"/>
    <mergeCell ref="A297:E298"/>
    <mergeCell ref="A345:E346"/>
  </mergeCells>
  <printOptions/>
  <pageMargins left="1.18" right="0.79" top="1.18" bottom="0.79" header="0" footer="0.31"/>
  <pageSetup horizontalDpi="600" verticalDpi="600" orientation="portrait" paperSize="9" scale="59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O66"/>
  <sheetViews>
    <sheetView view="pageBreakPreview" zoomScale="145" zoomScaleSheetLayoutView="145" workbookViewId="0" topLeftCell="A1">
      <selection activeCell="B9" sqref="B9:B11"/>
    </sheetView>
  </sheetViews>
  <sheetFormatPr defaultColWidth="9.140625" defaultRowHeight="12.75"/>
  <cols>
    <col min="1" max="1" width="6.140625" style="2" customWidth="1"/>
    <col min="2" max="2" width="24.28125" style="2" customWidth="1"/>
    <col min="3" max="3" width="5.28125" style="2" customWidth="1"/>
    <col min="4" max="5" width="5.00390625" style="2" customWidth="1"/>
    <col min="6" max="6" width="4.57421875" style="2" customWidth="1"/>
    <col min="7" max="7" width="4.8515625" style="2" customWidth="1"/>
    <col min="8" max="8" width="4.57421875" style="2" customWidth="1"/>
    <col min="9" max="9" width="5.00390625" style="2" customWidth="1"/>
    <col min="10" max="11" width="4.28125" style="2" customWidth="1"/>
    <col min="12" max="12" width="9.421875" style="2" customWidth="1"/>
    <col min="13" max="13" width="9.140625" style="2" customWidth="1"/>
    <col min="14" max="14" width="9.140625" style="3" customWidth="1"/>
  </cols>
  <sheetData>
    <row r="1" spans="1:12" ht="12.75">
      <c r="A1" s="4" t="s">
        <v>739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0"/>
    </row>
    <row r="3" spans="1:12" ht="25.5" customHeight="1">
      <c r="A3" s="7" t="str">
        <f>'ANEXO PB VI BDI Reduzido'!A3</f>
        <v>OBRA: CONTRATAÇÃO DE EMPRESA PARA RECUPERAÇÃO DOS PRÉDIOS DA DEFENSORIA PÚBLICA DO ESTADO DE RORAIMA NA CAPITAL E NOS MUNICÍPIO DO INTERIOR</v>
      </c>
      <c r="B3" s="8"/>
      <c r="C3" s="8"/>
      <c r="D3" s="8"/>
      <c r="E3" s="8"/>
      <c r="F3" s="8"/>
      <c r="G3" s="8"/>
      <c r="H3" s="8"/>
      <c r="I3" s="8"/>
      <c r="J3" s="8"/>
      <c r="K3" s="8"/>
      <c r="L3" s="51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0"/>
    </row>
    <row r="5" spans="1:12" ht="12.75">
      <c r="A5" s="9" t="s">
        <v>247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52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0"/>
    </row>
    <row r="7" spans="1:12" ht="12.75">
      <c r="A7" s="11" t="s">
        <v>14</v>
      </c>
      <c r="B7" s="12" t="s">
        <v>740</v>
      </c>
      <c r="C7" s="4" t="s">
        <v>741</v>
      </c>
      <c r="D7" s="5"/>
      <c r="E7" s="13"/>
      <c r="F7" s="4" t="s">
        <v>742</v>
      </c>
      <c r="G7" s="5"/>
      <c r="H7" s="13"/>
      <c r="I7" s="4" t="s">
        <v>743</v>
      </c>
      <c r="J7" s="5"/>
      <c r="K7" s="13"/>
      <c r="L7" s="11" t="s">
        <v>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14">
        <v>1</v>
      </c>
      <c r="B9" s="14" t="s">
        <v>21</v>
      </c>
      <c r="C9" s="15">
        <v>1</v>
      </c>
      <c r="D9" s="15"/>
      <c r="E9" s="15"/>
      <c r="F9" s="16" t="s">
        <v>744</v>
      </c>
      <c r="G9" s="16"/>
      <c r="H9" s="16"/>
      <c r="I9" s="16"/>
      <c r="J9" s="16"/>
      <c r="K9" s="16"/>
      <c r="L9" s="53">
        <f>'ANEXO PB II Penha brasil'!G12</f>
        <v>230.86</v>
      </c>
    </row>
    <row r="10" spans="1:12" ht="12.75">
      <c r="A10" s="14"/>
      <c r="B10" s="14"/>
      <c r="C10" s="17">
        <f>'ANEXO PB II Penha brasil'!G12</f>
        <v>230.86</v>
      </c>
      <c r="D10" s="18"/>
      <c r="E10" s="19"/>
      <c r="F10" s="16"/>
      <c r="G10" s="16"/>
      <c r="H10" s="16"/>
      <c r="I10" s="16"/>
      <c r="J10" s="16"/>
      <c r="K10" s="16"/>
      <c r="L10" s="54"/>
    </row>
    <row r="11" spans="1:12" ht="12.75">
      <c r="A11" s="14"/>
      <c r="B11" s="14"/>
      <c r="C11" s="20"/>
      <c r="D11" s="21"/>
      <c r="E11" s="22"/>
      <c r="F11" s="16"/>
      <c r="G11" s="16"/>
      <c r="H11" s="16"/>
      <c r="I11" s="16"/>
      <c r="J11" s="16"/>
      <c r="K11" s="16"/>
      <c r="L11" s="55"/>
    </row>
    <row r="12" spans="1:12" ht="12.75">
      <c r="A12" s="14">
        <v>2</v>
      </c>
      <c r="B12" s="14" t="s">
        <v>27</v>
      </c>
      <c r="C12" s="15">
        <v>1</v>
      </c>
      <c r="D12" s="15"/>
      <c r="E12" s="15"/>
      <c r="F12" s="16"/>
      <c r="G12" s="16"/>
      <c r="H12" s="16"/>
      <c r="I12" s="16"/>
      <c r="J12" s="16"/>
      <c r="K12" s="16"/>
      <c r="L12" s="53">
        <f>'ANEXO PB II Penha brasil'!G16</f>
        <v>73.64</v>
      </c>
    </row>
    <row r="13" spans="1:12" ht="12.75">
      <c r="A13" s="14"/>
      <c r="B13" s="14"/>
      <c r="C13" s="17">
        <f>'ANEXO PB II Penha brasil'!G16</f>
        <v>73.64</v>
      </c>
      <c r="D13" s="18"/>
      <c r="E13" s="19"/>
      <c r="F13" s="16"/>
      <c r="G13" s="16"/>
      <c r="H13" s="16"/>
      <c r="I13" s="16"/>
      <c r="J13" s="16"/>
      <c r="K13" s="16"/>
      <c r="L13" s="54"/>
    </row>
    <row r="14" spans="1:12" ht="12.75">
      <c r="A14" s="14"/>
      <c r="B14" s="14"/>
      <c r="C14" s="20"/>
      <c r="D14" s="21"/>
      <c r="E14" s="22"/>
      <c r="F14" s="16"/>
      <c r="G14" s="16"/>
      <c r="H14" s="16"/>
      <c r="I14" s="16"/>
      <c r="J14" s="16"/>
      <c r="K14" s="16"/>
      <c r="L14" s="55"/>
    </row>
    <row r="15" spans="1:12" ht="12.75">
      <c r="A15" s="14">
        <v>3</v>
      </c>
      <c r="B15" s="14" t="s">
        <v>38</v>
      </c>
      <c r="C15" s="15">
        <v>0.4</v>
      </c>
      <c r="D15" s="15"/>
      <c r="E15" s="15"/>
      <c r="F15" s="23">
        <v>0.4</v>
      </c>
      <c r="G15" s="24"/>
      <c r="H15" s="25"/>
      <c r="I15" s="23">
        <v>0.2</v>
      </c>
      <c r="J15" s="24"/>
      <c r="K15" s="25"/>
      <c r="L15" s="53">
        <f>'ANEXO PB II Penha brasil'!G25</f>
        <v>39124.090000000004</v>
      </c>
    </row>
    <row r="16" spans="1:12" ht="12.75">
      <c r="A16" s="14"/>
      <c r="B16" s="14"/>
      <c r="C16" s="17">
        <f>C15*'ANEXO PB II Penha brasil'!G25</f>
        <v>15649.636000000002</v>
      </c>
      <c r="D16" s="18"/>
      <c r="E16" s="19"/>
      <c r="F16" s="17">
        <f>F15*'ANEXO PB II Penha brasil'!G25</f>
        <v>15649.636000000002</v>
      </c>
      <c r="G16" s="18"/>
      <c r="H16" s="19"/>
      <c r="I16" s="17">
        <f>I15*'ANEXO PB II Penha brasil'!G25</f>
        <v>7824.818000000001</v>
      </c>
      <c r="J16" s="18"/>
      <c r="K16" s="19"/>
      <c r="L16" s="54"/>
    </row>
    <row r="17" spans="1:12" ht="12.75">
      <c r="A17" s="14"/>
      <c r="B17" s="14"/>
      <c r="C17" s="20"/>
      <c r="D17" s="21"/>
      <c r="E17" s="22"/>
      <c r="F17" s="20"/>
      <c r="G17" s="21"/>
      <c r="H17" s="22"/>
      <c r="I17" s="20"/>
      <c r="J17" s="21"/>
      <c r="K17" s="22"/>
      <c r="L17" s="55"/>
    </row>
    <row r="18" spans="1:12" ht="12.75">
      <c r="A18" s="14">
        <v>4</v>
      </c>
      <c r="B18" s="14" t="s">
        <v>99</v>
      </c>
      <c r="C18" s="16" t="s">
        <v>744</v>
      </c>
      <c r="D18" s="16"/>
      <c r="E18" s="16"/>
      <c r="F18" s="16"/>
      <c r="G18" s="16"/>
      <c r="H18" s="16"/>
      <c r="I18" s="56">
        <v>1</v>
      </c>
      <c r="J18" s="57"/>
      <c r="K18" s="58"/>
      <c r="L18" s="53">
        <f>'ANEXO PB II Penha brasil'!G70</f>
        <v>1116.9</v>
      </c>
    </row>
    <row r="19" spans="1:12" ht="12.75">
      <c r="A19" s="14"/>
      <c r="B19" s="14"/>
      <c r="C19" s="16"/>
      <c r="D19" s="16"/>
      <c r="E19" s="16"/>
      <c r="F19" s="16"/>
      <c r="G19" s="16"/>
      <c r="H19" s="16"/>
      <c r="I19" s="59">
        <f>'ANEXO PB II Penha brasil'!G70</f>
        <v>1116.9</v>
      </c>
      <c r="J19" s="60"/>
      <c r="K19" s="61"/>
      <c r="L19" s="54"/>
    </row>
    <row r="20" spans="1:12" ht="12.75">
      <c r="A20" s="14"/>
      <c r="B20" s="14"/>
      <c r="C20" s="16"/>
      <c r="D20" s="16"/>
      <c r="E20" s="16"/>
      <c r="F20" s="16"/>
      <c r="G20" s="16"/>
      <c r="H20" s="16"/>
      <c r="I20" s="20"/>
      <c r="J20" s="21"/>
      <c r="K20" s="22"/>
      <c r="L20" s="55"/>
    </row>
    <row r="21" spans="1:12" ht="12.75">
      <c r="A21" s="14">
        <v>5</v>
      </c>
      <c r="B21" s="26" t="s">
        <v>106</v>
      </c>
      <c r="C21" s="16"/>
      <c r="D21" s="16"/>
      <c r="E21" s="16"/>
      <c r="F21" s="16"/>
      <c r="G21" s="16"/>
      <c r="H21" s="16"/>
      <c r="I21" s="56">
        <v>1</v>
      </c>
      <c r="J21" s="57"/>
      <c r="K21" s="58"/>
      <c r="L21" s="53">
        <f>'ANEXO PB II Penha brasil'!G76</f>
        <v>293.82</v>
      </c>
    </row>
    <row r="22" spans="1:12" ht="12.75">
      <c r="A22" s="14"/>
      <c r="B22" s="27"/>
      <c r="C22" s="16"/>
      <c r="D22" s="16"/>
      <c r="E22" s="16"/>
      <c r="F22" s="16"/>
      <c r="G22" s="16"/>
      <c r="H22" s="16"/>
      <c r="I22" s="59">
        <f>'ANEXO PB II Penha brasil'!G76</f>
        <v>293.82</v>
      </c>
      <c r="J22" s="60"/>
      <c r="K22" s="61"/>
      <c r="L22" s="54"/>
    </row>
    <row r="23" spans="1:12" ht="12.75">
      <c r="A23" s="14"/>
      <c r="B23" s="28"/>
      <c r="C23" s="16"/>
      <c r="D23" s="16"/>
      <c r="E23" s="16"/>
      <c r="F23" s="16"/>
      <c r="G23" s="16"/>
      <c r="H23" s="16"/>
      <c r="I23" s="20"/>
      <c r="J23" s="21"/>
      <c r="K23" s="22"/>
      <c r="L23" s="55"/>
    </row>
    <row r="24" spans="1:12" ht="12.75">
      <c r="A24" s="14">
        <v>6</v>
      </c>
      <c r="B24" s="26" t="s">
        <v>118</v>
      </c>
      <c r="C24" s="16"/>
      <c r="D24" s="16"/>
      <c r="E24" s="16"/>
      <c r="F24" s="16"/>
      <c r="G24" s="16"/>
      <c r="H24" s="16"/>
      <c r="I24" s="56">
        <v>1</v>
      </c>
      <c r="J24" s="57"/>
      <c r="K24" s="58"/>
      <c r="L24" s="53">
        <f>'ANEXO PB II Penha brasil'!G83</f>
        <v>3011.05</v>
      </c>
    </row>
    <row r="25" spans="1:12" ht="12.75">
      <c r="A25" s="14"/>
      <c r="B25" s="27"/>
      <c r="C25" s="16"/>
      <c r="D25" s="16"/>
      <c r="E25" s="16"/>
      <c r="F25" s="16"/>
      <c r="G25" s="16"/>
      <c r="H25" s="16"/>
      <c r="I25" s="59">
        <f>'ANEXO PB II Penha brasil'!G83</f>
        <v>3011.05</v>
      </c>
      <c r="J25" s="60"/>
      <c r="K25" s="61"/>
      <c r="L25" s="54"/>
    </row>
    <row r="26" spans="1:12" ht="12.75">
      <c r="A26" s="14"/>
      <c r="B26" s="28"/>
      <c r="C26" s="16"/>
      <c r="D26" s="16"/>
      <c r="E26" s="16"/>
      <c r="F26" s="16"/>
      <c r="G26" s="16"/>
      <c r="H26" s="16"/>
      <c r="I26" s="20"/>
      <c r="J26" s="21"/>
      <c r="K26" s="22"/>
      <c r="L26" s="55"/>
    </row>
    <row r="27" spans="1:12" ht="12.75">
      <c r="A27" s="14">
        <v>7</v>
      </c>
      <c r="B27" s="26" t="s">
        <v>127</v>
      </c>
      <c r="C27" s="29"/>
      <c r="D27" s="29"/>
      <c r="E27" s="29"/>
      <c r="F27" s="29"/>
      <c r="G27" s="29"/>
      <c r="H27" s="29"/>
      <c r="I27" s="56">
        <v>1</v>
      </c>
      <c r="J27" s="57"/>
      <c r="K27" s="58"/>
      <c r="L27" s="53">
        <f>'ANEXO PB II Penha brasil'!G89</f>
        <v>457.16</v>
      </c>
    </row>
    <row r="28" spans="1:12" ht="12.75">
      <c r="A28" s="14"/>
      <c r="B28" s="27"/>
      <c r="C28" s="29"/>
      <c r="D28" s="29"/>
      <c r="E28" s="29"/>
      <c r="F28" s="29"/>
      <c r="G28" s="29"/>
      <c r="H28" s="29"/>
      <c r="I28" s="59">
        <f>'ANEXO PB II Penha brasil'!G89</f>
        <v>457.16</v>
      </c>
      <c r="J28" s="60"/>
      <c r="K28" s="61"/>
      <c r="L28" s="54"/>
    </row>
    <row r="29" spans="1:12" ht="12.75">
      <c r="A29" s="14"/>
      <c r="B29" s="28"/>
      <c r="C29" s="29"/>
      <c r="D29" s="29"/>
      <c r="E29" s="29"/>
      <c r="F29" s="29"/>
      <c r="G29" s="29"/>
      <c r="H29" s="29"/>
      <c r="I29" s="20"/>
      <c r="J29" s="21"/>
      <c r="K29" s="22"/>
      <c r="L29" s="55"/>
    </row>
    <row r="30" spans="1:12" ht="12.75">
      <c r="A30" s="14">
        <v>8</v>
      </c>
      <c r="B30" s="26" t="s">
        <v>136</v>
      </c>
      <c r="C30" s="15">
        <f>1/3</f>
        <v>0.3333333333333333</v>
      </c>
      <c r="D30" s="15"/>
      <c r="E30" s="15"/>
      <c r="F30" s="15">
        <f>1/3</f>
        <v>0.3333333333333333</v>
      </c>
      <c r="G30" s="15"/>
      <c r="H30" s="15"/>
      <c r="I30" s="15">
        <f>1/3</f>
        <v>0.3333333333333333</v>
      </c>
      <c r="J30" s="15"/>
      <c r="K30" s="15"/>
      <c r="L30" s="53">
        <f>'ANEXO PB II Penha brasil'!G95</f>
        <v>6335.53</v>
      </c>
    </row>
    <row r="31" spans="1:12" ht="12.75">
      <c r="A31" s="14"/>
      <c r="B31" s="27"/>
      <c r="C31" s="30">
        <f>C30*'ANEXO PB II Penha brasil'!G95</f>
        <v>2111.8433333333332</v>
      </c>
      <c r="D31" s="30"/>
      <c r="E31" s="30"/>
      <c r="F31" s="30">
        <f>F30*'ANEXO PB II Penha brasil'!G95</f>
        <v>2111.8433333333332</v>
      </c>
      <c r="G31" s="30"/>
      <c r="H31" s="30"/>
      <c r="I31" s="30">
        <f>I30*'ANEXO PB II Penha brasil'!G95</f>
        <v>2111.8433333333332</v>
      </c>
      <c r="J31" s="30"/>
      <c r="K31" s="30"/>
      <c r="L31" s="54"/>
    </row>
    <row r="32" spans="1:12" ht="12.75">
      <c r="A32" s="14"/>
      <c r="B32" s="28"/>
      <c r="C32" s="31"/>
      <c r="D32" s="32"/>
      <c r="E32" s="33"/>
      <c r="F32" s="31"/>
      <c r="G32" s="32"/>
      <c r="H32" s="33"/>
      <c r="I32" s="31"/>
      <c r="J32" s="32"/>
      <c r="K32" s="33"/>
      <c r="L32" s="55"/>
    </row>
    <row r="33" spans="1:14" s="1" customFormat="1" ht="11.25" customHeight="1">
      <c r="A33" s="11" t="s">
        <v>745</v>
      </c>
      <c r="B33" s="11"/>
      <c r="C33" s="34">
        <f>(C10+C13+C16+C31)/L33</f>
        <v>0.3567316607774084</v>
      </c>
      <c r="D33" s="35"/>
      <c r="E33" s="36"/>
      <c r="F33" s="34">
        <f>(F16+F31)/L33</f>
        <v>0.35071898973962534</v>
      </c>
      <c r="G33" s="35"/>
      <c r="H33" s="36"/>
      <c r="I33" s="62">
        <f>(I16+I19+I22+I25+I28+I31)/L33</f>
        <v>0.2925493494829662</v>
      </c>
      <c r="J33" s="63"/>
      <c r="K33" s="64"/>
      <c r="L33" s="65">
        <f>SUM(L9:L32)</f>
        <v>50643.05000000001</v>
      </c>
      <c r="M33" s="66"/>
      <c r="N33" s="67"/>
    </row>
    <row r="34" spans="1:15" s="1" customFormat="1" ht="11.25" customHeight="1">
      <c r="A34" s="11" t="s">
        <v>746</v>
      </c>
      <c r="B34" s="11"/>
      <c r="C34" s="34">
        <f>C33</f>
        <v>0.3567316607774084</v>
      </c>
      <c r="D34" s="35"/>
      <c r="E34" s="36"/>
      <c r="F34" s="34">
        <f>F33+C34</f>
        <v>0.7074506505170337</v>
      </c>
      <c r="G34" s="35"/>
      <c r="H34" s="36"/>
      <c r="I34" s="68">
        <f>I33+F34</f>
        <v>0.9999999999999999</v>
      </c>
      <c r="J34" s="69"/>
      <c r="K34" s="70"/>
      <c r="L34" s="71"/>
      <c r="M34" s="66"/>
      <c r="N34" s="67"/>
      <c r="O34" s="72"/>
    </row>
    <row r="35" spans="1:14" s="1" customFormat="1" ht="11.25" customHeight="1">
      <c r="A35" s="11" t="s">
        <v>747</v>
      </c>
      <c r="B35" s="11"/>
      <c r="C35" s="37">
        <f>ROUND(C10+C13+C16+C31,2)</f>
        <v>18065.98</v>
      </c>
      <c r="D35" s="38"/>
      <c r="E35" s="39"/>
      <c r="F35" s="37">
        <f>ROUND(F16+F31,2)</f>
        <v>17761.48</v>
      </c>
      <c r="G35" s="38"/>
      <c r="H35" s="39"/>
      <c r="I35" s="73">
        <f>ROUND(I16+I19+I22+I25+I28+I31,2)</f>
        <v>14815.59</v>
      </c>
      <c r="J35" s="74"/>
      <c r="K35" s="75"/>
      <c r="L35" s="71"/>
      <c r="M35" s="66"/>
      <c r="N35" s="67"/>
    </row>
    <row r="36" spans="1:15" s="1" customFormat="1" ht="11.25" customHeight="1">
      <c r="A36" s="11" t="s">
        <v>748</v>
      </c>
      <c r="B36" s="11"/>
      <c r="C36" s="37">
        <f>C35</f>
        <v>18065.98</v>
      </c>
      <c r="D36" s="38"/>
      <c r="E36" s="39"/>
      <c r="F36" s="37">
        <f>C36+F35</f>
        <v>35827.46</v>
      </c>
      <c r="G36" s="38"/>
      <c r="H36" s="39"/>
      <c r="I36" s="76">
        <f>F36+I35+0.01</f>
        <v>50643.060000000005</v>
      </c>
      <c r="J36" s="77"/>
      <c r="K36" s="78"/>
      <c r="L36" s="79"/>
      <c r="M36" s="66"/>
      <c r="N36" s="67"/>
      <c r="O36" s="80"/>
    </row>
    <row r="37" spans="1:14" s="1" customFormat="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66"/>
      <c r="N37" s="67"/>
    </row>
    <row r="38" spans="1:12" ht="12.75">
      <c r="A38" s="9" t="s">
        <v>145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2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11" t="s">
        <v>14</v>
      </c>
      <c r="B40" s="12" t="s">
        <v>740</v>
      </c>
      <c r="C40" s="4" t="s">
        <v>749</v>
      </c>
      <c r="D40" s="5"/>
      <c r="E40" s="13"/>
      <c r="F40" s="4" t="s">
        <v>750</v>
      </c>
      <c r="G40" s="5"/>
      <c r="H40" s="13"/>
      <c r="I40" s="4" t="s">
        <v>751</v>
      </c>
      <c r="J40" s="5"/>
      <c r="K40" s="13"/>
      <c r="L40" s="11" t="s">
        <v>6</v>
      </c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14">
        <v>1</v>
      </c>
      <c r="B42" s="14" t="str">
        <f>'ANEXO PB II Alto Alegre'!C12</f>
        <v>IMPERMEABILIZAÇÃO</v>
      </c>
      <c r="C42" s="15">
        <v>1</v>
      </c>
      <c r="D42" s="15"/>
      <c r="E42" s="15"/>
      <c r="F42" s="41"/>
      <c r="G42" s="41"/>
      <c r="H42" s="41"/>
      <c r="I42" s="41"/>
      <c r="J42" s="41"/>
      <c r="K42" s="41"/>
      <c r="L42" s="81">
        <f>'ANEXO PB II Alto Alegre'!G12</f>
        <v>6709.9924</v>
      </c>
    </row>
    <row r="43" spans="1:12" ht="12.75">
      <c r="A43" s="14"/>
      <c r="B43" s="14"/>
      <c r="C43" s="42">
        <f>'ANEXO PB II Alto Alegre'!G12</f>
        <v>6709.9924</v>
      </c>
      <c r="D43" s="42"/>
      <c r="E43" s="42"/>
      <c r="F43" s="43"/>
      <c r="G43" s="43"/>
      <c r="H43" s="43"/>
      <c r="I43" s="43"/>
      <c r="J43" s="43"/>
      <c r="K43" s="43"/>
      <c r="L43" s="81"/>
    </row>
    <row r="44" spans="1:12" ht="12.75">
      <c r="A44" s="14"/>
      <c r="B44" s="14"/>
      <c r="C44" s="31"/>
      <c r="D44" s="32"/>
      <c r="E44" s="33"/>
      <c r="F44" s="44"/>
      <c r="G44" s="44"/>
      <c r="H44" s="44"/>
      <c r="I44" s="44"/>
      <c r="J44" s="44"/>
      <c r="K44" s="44"/>
      <c r="L44" s="81"/>
    </row>
    <row r="45" spans="1:12" ht="12.75">
      <c r="A45" s="14">
        <v>2</v>
      </c>
      <c r="B45" s="14" t="str">
        <f>'ANEXO PB II Alto Alegre'!C21</f>
        <v>PINTURA </v>
      </c>
      <c r="C45" s="45"/>
      <c r="D45" s="45"/>
      <c r="E45" s="45"/>
      <c r="F45" s="15">
        <f>2/3</f>
        <v>0.6666666666666666</v>
      </c>
      <c r="G45" s="15"/>
      <c r="H45" s="15"/>
      <c r="I45" s="15">
        <f>1/3</f>
        <v>0.3333333333333333</v>
      </c>
      <c r="J45" s="15"/>
      <c r="K45" s="15"/>
      <c r="L45" s="81">
        <f>'ANEXO PB II Alto Alegre'!G21</f>
        <v>17353.2</v>
      </c>
    </row>
    <row r="46" spans="1:12" ht="12.75">
      <c r="A46" s="14"/>
      <c r="B46" s="14"/>
      <c r="C46" s="43"/>
      <c r="D46" s="43"/>
      <c r="E46" s="43"/>
      <c r="F46" s="42">
        <f>('ANEXO PB II Alto Alegre'!G21)*2/3</f>
        <v>11568.800000000001</v>
      </c>
      <c r="G46" s="42"/>
      <c r="H46" s="42"/>
      <c r="I46" s="42">
        <f>('ANEXO PB II Alto Alegre'!G21)*1/3</f>
        <v>5784.400000000001</v>
      </c>
      <c r="J46" s="42"/>
      <c r="K46" s="42"/>
      <c r="L46" s="81"/>
    </row>
    <row r="47" spans="1:12" ht="12.75">
      <c r="A47" s="14"/>
      <c r="B47" s="14"/>
      <c r="C47" s="14"/>
      <c r="D47" s="14"/>
      <c r="E47" s="14"/>
      <c r="F47" s="31"/>
      <c r="G47" s="32"/>
      <c r="H47" s="33"/>
      <c r="I47" s="31"/>
      <c r="J47" s="32"/>
      <c r="K47" s="33"/>
      <c r="L47" s="81"/>
    </row>
    <row r="48" spans="1:12" ht="12.75">
      <c r="A48" s="14">
        <v>3</v>
      </c>
      <c r="B48" s="14" t="str">
        <f>'ANEXO PB II Alto Alegre'!C38</f>
        <v>MASTRO</v>
      </c>
      <c r="C48" s="15">
        <v>1</v>
      </c>
      <c r="D48" s="15"/>
      <c r="E48" s="15"/>
      <c r="F48" s="46"/>
      <c r="G48" s="46"/>
      <c r="H48" s="46"/>
      <c r="I48" s="46"/>
      <c r="J48" s="46"/>
      <c r="K48" s="46"/>
      <c r="L48" s="81">
        <f>'ANEXO PB II Alto Alegre'!G38</f>
        <v>575.9</v>
      </c>
    </row>
    <row r="49" spans="1:12" ht="12.75">
      <c r="A49" s="14"/>
      <c r="B49" s="14"/>
      <c r="C49" s="42">
        <f>'ANEXO PB II Alto Alegre'!G38</f>
        <v>575.9</v>
      </c>
      <c r="D49" s="42"/>
      <c r="E49" s="42"/>
      <c r="F49" s="47"/>
      <c r="G49" s="47"/>
      <c r="H49" s="47"/>
      <c r="I49" s="47"/>
      <c r="J49" s="47"/>
      <c r="K49" s="47"/>
      <c r="L49" s="81"/>
    </row>
    <row r="50" spans="1:12" ht="12.75">
      <c r="A50" s="14"/>
      <c r="B50" s="14"/>
      <c r="C50" s="31"/>
      <c r="D50" s="32"/>
      <c r="E50" s="33"/>
      <c r="F50" s="48"/>
      <c r="G50" s="48"/>
      <c r="H50" s="48"/>
      <c r="I50" s="48"/>
      <c r="J50" s="48"/>
      <c r="K50" s="48"/>
      <c r="L50" s="81"/>
    </row>
    <row r="51" spans="1:12" ht="12.75">
      <c r="A51" s="14">
        <v>4</v>
      </c>
      <c r="B51" s="14" t="str">
        <f>'ANEXO PB II Alto Alegre'!C41</f>
        <v>ANTIDERRAPANTE AUDITÓRIO</v>
      </c>
      <c r="C51" s="49"/>
      <c r="D51" s="49"/>
      <c r="E51" s="49"/>
      <c r="F51" s="46"/>
      <c r="G51" s="46"/>
      <c r="H51" s="46"/>
      <c r="I51" s="15">
        <v>1</v>
      </c>
      <c r="J51" s="15"/>
      <c r="K51" s="15"/>
      <c r="L51" s="81">
        <f>'ANEXO PB II Alto Alegre'!G41</f>
        <v>45.9</v>
      </c>
    </row>
    <row r="52" spans="1:12" ht="12.75">
      <c r="A52" s="14"/>
      <c r="B52" s="14"/>
      <c r="C52" s="47"/>
      <c r="D52" s="47"/>
      <c r="E52" s="47"/>
      <c r="F52" s="47"/>
      <c r="G52" s="47"/>
      <c r="H52" s="47"/>
      <c r="I52" s="42">
        <f>'ANEXO PB II Alto Alegre'!G41</f>
        <v>45.9</v>
      </c>
      <c r="J52" s="42"/>
      <c r="K52" s="42"/>
      <c r="L52" s="81"/>
    </row>
    <row r="53" spans="1:12" ht="12.75">
      <c r="A53" s="14"/>
      <c r="B53" s="14"/>
      <c r="C53" s="48"/>
      <c r="D53" s="48"/>
      <c r="E53" s="48"/>
      <c r="F53" s="48"/>
      <c r="G53" s="48"/>
      <c r="H53" s="48"/>
      <c r="I53" s="31"/>
      <c r="J53" s="32"/>
      <c r="K53" s="33"/>
      <c r="L53" s="81"/>
    </row>
    <row r="54" spans="1:12" ht="12.75">
      <c r="A54" s="14">
        <v>5</v>
      </c>
      <c r="B54" s="14" t="str">
        <f>'ANEXO PB II Alto Alegre'!C44</f>
        <v>ELÉTRICO</v>
      </c>
      <c r="C54" s="49"/>
      <c r="D54" s="49"/>
      <c r="E54" s="49"/>
      <c r="F54" s="46"/>
      <c r="G54" s="46"/>
      <c r="H54" s="46"/>
      <c r="I54" s="15">
        <v>1</v>
      </c>
      <c r="J54" s="15"/>
      <c r="K54" s="15"/>
      <c r="L54" s="81">
        <f>'ANEXO PB II Alto Alegre'!G44</f>
        <v>288.5</v>
      </c>
    </row>
    <row r="55" spans="1:12" ht="12.75">
      <c r="A55" s="14"/>
      <c r="B55" s="14"/>
      <c r="C55" s="47"/>
      <c r="D55" s="47"/>
      <c r="E55" s="47"/>
      <c r="F55" s="47"/>
      <c r="G55" s="47"/>
      <c r="H55" s="47"/>
      <c r="I55" s="42">
        <f>'ANEXO PB II Alto Alegre'!G44</f>
        <v>288.5</v>
      </c>
      <c r="J55" s="42"/>
      <c r="K55" s="42"/>
      <c r="L55" s="81"/>
    </row>
    <row r="56" spans="1:12" ht="12.75">
      <c r="A56" s="14"/>
      <c r="B56" s="14"/>
      <c r="C56" s="48"/>
      <c r="D56" s="48"/>
      <c r="E56" s="48"/>
      <c r="F56" s="48"/>
      <c r="G56" s="48"/>
      <c r="H56" s="48"/>
      <c r="I56" s="31"/>
      <c r="J56" s="32"/>
      <c r="K56" s="33"/>
      <c r="L56" s="81"/>
    </row>
    <row r="57" spans="1:12" ht="12.75">
      <c r="A57" s="14">
        <v>6</v>
      </c>
      <c r="B57" s="14" t="str">
        <f>'ANEXO PB II Alto Alegre'!C47</f>
        <v>LIMPEZA DA CAIXA DAGUA</v>
      </c>
      <c r="C57" s="49"/>
      <c r="D57" s="49"/>
      <c r="E57" s="49"/>
      <c r="F57" s="46"/>
      <c r="G57" s="46"/>
      <c r="H57" s="46"/>
      <c r="I57" s="15">
        <v>1</v>
      </c>
      <c r="J57" s="15"/>
      <c r="K57" s="15"/>
      <c r="L57" s="81">
        <f>'ANEXO PB II Alto Alegre'!G47</f>
        <v>64.42</v>
      </c>
    </row>
    <row r="58" spans="1:12" ht="12.75">
      <c r="A58" s="14"/>
      <c r="B58" s="14"/>
      <c r="C58" s="47"/>
      <c r="D58" s="47"/>
      <c r="E58" s="47"/>
      <c r="F58" s="47"/>
      <c r="G58" s="47"/>
      <c r="H58" s="47"/>
      <c r="I58" s="42">
        <f>'ANEXO PB II Alto Alegre'!G47</f>
        <v>64.42</v>
      </c>
      <c r="J58" s="42"/>
      <c r="K58" s="42"/>
      <c r="L58" s="81"/>
    </row>
    <row r="59" spans="1:12" ht="12.75">
      <c r="A59" s="14"/>
      <c r="B59" s="14"/>
      <c r="C59" s="48"/>
      <c r="D59" s="48"/>
      <c r="E59" s="48"/>
      <c r="F59" s="48"/>
      <c r="G59" s="48"/>
      <c r="H59" s="48"/>
      <c r="I59" s="31"/>
      <c r="J59" s="32"/>
      <c r="K59" s="33"/>
      <c r="L59" s="81"/>
    </row>
    <row r="60" spans="1:12" ht="12.75">
      <c r="A60" s="14">
        <v>7</v>
      </c>
      <c r="B60" s="14" t="str">
        <f>'ANEXO PB II Alto Alegre'!C50</f>
        <v> DESPESAS INDIRETAS DA OBRA</v>
      </c>
      <c r="C60" s="15">
        <v>0.33333333333333337</v>
      </c>
      <c r="D60" s="15"/>
      <c r="E60" s="15"/>
      <c r="F60" s="15">
        <v>0.33333333333333337</v>
      </c>
      <c r="G60" s="15"/>
      <c r="H60" s="15"/>
      <c r="I60" s="15">
        <v>0.33333333333333337</v>
      </c>
      <c r="J60" s="15"/>
      <c r="K60" s="15"/>
      <c r="L60" s="81">
        <f>'ANEXO PB II Alto Alegre'!G50</f>
        <v>677.75</v>
      </c>
    </row>
    <row r="61" spans="1:12" ht="12.75">
      <c r="A61" s="14"/>
      <c r="B61" s="14"/>
      <c r="C61" s="42">
        <f>('ANEXO PB II Alto Alegre'!G50)/3</f>
        <v>225.91666666666666</v>
      </c>
      <c r="D61" s="42"/>
      <c r="E61" s="42"/>
      <c r="F61" s="42">
        <f>('ANEXO PB II Alto Alegre'!G50)/3</f>
        <v>225.91666666666666</v>
      </c>
      <c r="G61" s="42"/>
      <c r="H61" s="42"/>
      <c r="I61" s="42">
        <f>('ANEXO PB II Alto Alegre'!G50)/3</f>
        <v>225.91666666666666</v>
      </c>
      <c r="J61" s="42"/>
      <c r="K61" s="42"/>
      <c r="L61" s="81"/>
    </row>
    <row r="62" spans="1:12" ht="12.75">
      <c r="A62" s="14"/>
      <c r="B62" s="14"/>
      <c r="C62" s="31"/>
      <c r="D62" s="32"/>
      <c r="E62" s="33"/>
      <c r="F62" s="31"/>
      <c r="G62" s="32"/>
      <c r="H62" s="33"/>
      <c r="I62" s="31"/>
      <c r="J62" s="32"/>
      <c r="K62" s="33"/>
      <c r="L62" s="81"/>
    </row>
    <row r="63" spans="1:12" ht="12.75">
      <c r="A63" s="11" t="s">
        <v>745</v>
      </c>
      <c r="B63" s="11"/>
      <c r="C63" s="34">
        <f>(C43+C49+C61)/L63</f>
        <v>0.2921102692134684</v>
      </c>
      <c r="D63" s="35"/>
      <c r="E63" s="36"/>
      <c r="F63" s="34">
        <f>(F46+F61)/L63</f>
        <v>0.45865887034924935</v>
      </c>
      <c r="G63" s="35"/>
      <c r="H63" s="36"/>
      <c r="I63" s="34">
        <f>(I46+I52+I55+I58+I61)/L63</f>
        <v>0.24923086043728226</v>
      </c>
      <c r="J63" s="35"/>
      <c r="K63" s="36"/>
      <c r="L63" s="82">
        <f>SUM(L42:L62)</f>
        <v>25715.6624</v>
      </c>
    </row>
    <row r="64" spans="1:12" ht="12.75">
      <c r="A64" s="11" t="s">
        <v>746</v>
      </c>
      <c r="B64" s="11"/>
      <c r="C64" s="34">
        <f>C63</f>
        <v>0.2921102692134684</v>
      </c>
      <c r="D64" s="35"/>
      <c r="E64" s="36"/>
      <c r="F64" s="34">
        <f>F63+C64</f>
        <v>0.7507691395627177</v>
      </c>
      <c r="G64" s="35"/>
      <c r="H64" s="36"/>
      <c r="I64" s="34">
        <f>I63+F64</f>
        <v>1</v>
      </c>
      <c r="J64" s="35"/>
      <c r="K64" s="36"/>
      <c r="L64" s="82"/>
    </row>
    <row r="65" spans="1:12" ht="12.75">
      <c r="A65" s="11" t="s">
        <v>747</v>
      </c>
      <c r="B65" s="11"/>
      <c r="C65" s="83">
        <f>C43+C49+C61</f>
        <v>7511.809066666667</v>
      </c>
      <c r="D65" s="84"/>
      <c r="E65" s="85"/>
      <c r="F65" s="83">
        <f>F46+F61</f>
        <v>11794.716666666667</v>
      </c>
      <c r="G65" s="84"/>
      <c r="H65" s="85"/>
      <c r="I65" s="83">
        <f>I46+I52+I55+I58+I61</f>
        <v>6409.136666666667</v>
      </c>
      <c r="J65" s="84"/>
      <c r="K65" s="85"/>
      <c r="L65" s="82"/>
    </row>
    <row r="66" spans="1:12" ht="12.75">
      <c r="A66" s="11" t="s">
        <v>748</v>
      </c>
      <c r="B66" s="11"/>
      <c r="C66" s="83">
        <f>C65</f>
        <v>7511.809066666667</v>
      </c>
      <c r="D66" s="84"/>
      <c r="E66" s="85"/>
      <c r="F66" s="83">
        <f>C66+F65</f>
        <v>19306.525733333336</v>
      </c>
      <c r="G66" s="84"/>
      <c r="H66" s="85"/>
      <c r="I66" s="83">
        <f>F66+I65+0.01</f>
        <v>25715.6724</v>
      </c>
      <c r="J66" s="84"/>
      <c r="K66" s="85"/>
      <c r="L66" s="82"/>
    </row>
  </sheetData>
  <sheetProtection/>
  <mergeCells count="162">
    <mergeCell ref="A1:L1"/>
    <mergeCell ref="A2:L2"/>
    <mergeCell ref="A3:L3"/>
    <mergeCell ref="A4:L4"/>
    <mergeCell ref="A5:L5"/>
    <mergeCell ref="A6:L6"/>
    <mergeCell ref="C7:E7"/>
    <mergeCell ref="F7:H7"/>
    <mergeCell ref="I7:K7"/>
    <mergeCell ref="A8:L8"/>
    <mergeCell ref="C9:E9"/>
    <mergeCell ref="C10:E10"/>
    <mergeCell ref="C11:E11"/>
    <mergeCell ref="C12:E12"/>
    <mergeCell ref="C13:E13"/>
    <mergeCell ref="C14:E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C30:E30"/>
    <mergeCell ref="F30:H30"/>
    <mergeCell ref="I30:K30"/>
    <mergeCell ref="C31:E31"/>
    <mergeCell ref="F31:H31"/>
    <mergeCell ref="I31:K31"/>
    <mergeCell ref="C32:E32"/>
    <mergeCell ref="F32:H32"/>
    <mergeCell ref="I32:K32"/>
    <mergeCell ref="A33:B33"/>
    <mergeCell ref="C33:E33"/>
    <mergeCell ref="F33:H33"/>
    <mergeCell ref="I33:K33"/>
    <mergeCell ref="A34:B34"/>
    <mergeCell ref="C34:E34"/>
    <mergeCell ref="F34:H34"/>
    <mergeCell ref="I34:K34"/>
    <mergeCell ref="A35:B35"/>
    <mergeCell ref="C35:E35"/>
    <mergeCell ref="F35:H35"/>
    <mergeCell ref="I35:K35"/>
    <mergeCell ref="A36:B36"/>
    <mergeCell ref="C36:E36"/>
    <mergeCell ref="F36:H36"/>
    <mergeCell ref="I36:K36"/>
    <mergeCell ref="A37:L37"/>
    <mergeCell ref="A38:L38"/>
    <mergeCell ref="A39:L39"/>
    <mergeCell ref="C40:E40"/>
    <mergeCell ref="F40:H40"/>
    <mergeCell ref="I40:K40"/>
    <mergeCell ref="A41:L41"/>
    <mergeCell ref="C42:E42"/>
    <mergeCell ref="C43:E43"/>
    <mergeCell ref="C44:E44"/>
    <mergeCell ref="F45:H45"/>
    <mergeCell ref="I45:K45"/>
    <mergeCell ref="F46:H46"/>
    <mergeCell ref="I46:K46"/>
    <mergeCell ref="F47:H47"/>
    <mergeCell ref="I47:K47"/>
    <mergeCell ref="C48:E48"/>
    <mergeCell ref="C49:E49"/>
    <mergeCell ref="C50:E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C60:E60"/>
    <mergeCell ref="F60:H60"/>
    <mergeCell ref="I60:K60"/>
    <mergeCell ref="C61:E61"/>
    <mergeCell ref="F61:H61"/>
    <mergeCell ref="I61:K61"/>
    <mergeCell ref="C62:E62"/>
    <mergeCell ref="F62:H62"/>
    <mergeCell ref="I62:K62"/>
    <mergeCell ref="A63:B63"/>
    <mergeCell ref="C63:E63"/>
    <mergeCell ref="F63:H63"/>
    <mergeCell ref="I63:K63"/>
    <mergeCell ref="A64:B64"/>
    <mergeCell ref="C64:E64"/>
    <mergeCell ref="F64:H64"/>
    <mergeCell ref="I64:K64"/>
    <mergeCell ref="A65:B65"/>
    <mergeCell ref="C65:E65"/>
    <mergeCell ref="F65:H65"/>
    <mergeCell ref="I65:K65"/>
    <mergeCell ref="A66:B66"/>
    <mergeCell ref="C66:E66"/>
    <mergeCell ref="F66:H66"/>
    <mergeCell ref="I66:K66"/>
    <mergeCell ref="A9:A11"/>
    <mergeCell ref="A12:A14"/>
    <mergeCell ref="A15:A17"/>
    <mergeCell ref="A18:A20"/>
    <mergeCell ref="A21:A23"/>
    <mergeCell ref="A24:A26"/>
    <mergeCell ref="A27:A29"/>
    <mergeCell ref="A30:A32"/>
    <mergeCell ref="A42:A44"/>
    <mergeCell ref="A45:A47"/>
    <mergeCell ref="A48:A50"/>
    <mergeCell ref="A51:A53"/>
    <mergeCell ref="A54:A56"/>
    <mergeCell ref="A57:A59"/>
    <mergeCell ref="A60:A62"/>
    <mergeCell ref="B9:B11"/>
    <mergeCell ref="B12:B14"/>
    <mergeCell ref="B15:B17"/>
    <mergeCell ref="B18:B20"/>
    <mergeCell ref="B21:B23"/>
    <mergeCell ref="B24:B26"/>
    <mergeCell ref="B27:B29"/>
    <mergeCell ref="B30:B32"/>
    <mergeCell ref="B42:B44"/>
    <mergeCell ref="B45:B47"/>
    <mergeCell ref="B48:B50"/>
    <mergeCell ref="B51:B53"/>
    <mergeCell ref="B54:B56"/>
    <mergeCell ref="B57:B59"/>
    <mergeCell ref="B60:B62"/>
    <mergeCell ref="L9:L11"/>
    <mergeCell ref="L12:L14"/>
    <mergeCell ref="L15:L17"/>
    <mergeCell ref="L18:L20"/>
    <mergeCell ref="L21:L23"/>
    <mergeCell ref="L24:L26"/>
    <mergeCell ref="L27:L29"/>
    <mergeCell ref="L30:L32"/>
    <mergeCell ref="L33:L36"/>
    <mergeCell ref="L42:L44"/>
    <mergeCell ref="L45:L47"/>
    <mergeCell ref="L48:L50"/>
    <mergeCell ref="L51:L53"/>
    <mergeCell ref="L54:L56"/>
    <mergeCell ref="L57:L59"/>
    <mergeCell ref="L60:L62"/>
    <mergeCell ref="L63:L66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9"/>
  <sheetViews>
    <sheetView view="pageBreakPreview" zoomScale="115" zoomScaleSheetLayoutView="115" workbookViewId="0" topLeftCell="A1">
      <selection activeCell="C13" sqref="C13"/>
    </sheetView>
  </sheetViews>
  <sheetFormatPr defaultColWidth="9.140625" defaultRowHeight="12.75" outlineLevelRow="1"/>
  <cols>
    <col min="1" max="1" width="17.28125" style="598" customWidth="1"/>
    <col min="2" max="2" width="7.28125" style="599" customWidth="1"/>
    <col min="3" max="3" width="55.7109375" style="600" customWidth="1"/>
    <col min="4" max="4" width="6.00390625" style="601" customWidth="1"/>
    <col min="5" max="5" width="9.28125" style="602" customWidth="1"/>
    <col min="6" max="6" width="10.57421875" style="603" customWidth="1"/>
    <col min="7" max="7" width="10.8515625" style="603" customWidth="1"/>
    <col min="8" max="8" width="12.140625" style="604" customWidth="1"/>
    <col min="9" max="9" width="12.00390625" style="488" bestFit="1" customWidth="1"/>
    <col min="10" max="10" width="12.421875" style="488" bestFit="1" customWidth="1"/>
    <col min="11" max="16384" width="9.140625" style="488" customWidth="1"/>
  </cols>
  <sheetData>
    <row r="1" spans="1:9" ht="15.75">
      <c r="A1" s="605" t="s">
        <v>7</v>
      </c>
      <c r="B1" s="605"/>
      <c r="C1" s="606"/>
      <c r="D1" s="605"/>
      <c r="E1" s="605"/>
      <c r="F1" s="605"/>
      <c r="G1" s="605"/>
      <c r="H1" s="607"/>
      <c r="I1" s="596"/>
    </row>
    <row r="2" spans="1:9" ht="15.75">
      <c r="A2" s="608"/>
      <c r="B2" s="608"/>
      <c r="C2" s="609"/>
      <c r="D2" s="608"/>
      <c r="E2" s="608"/>
      <c r="F2" s="608"/>
      <c r="G2" s="608"/>
      <c r="H2" s="610"/>
      <c r="I2" s="596"/>
    </row>
    <row r="3" spans="1:9" ht="36.75" customHeight="1">
      <c r="A3" s="455" t="str">
        <f>'ANEXO PB I RESUMO'!A3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  <c r="H3" s="610"/>
      <c r="I3" s="631"/>
    </row>
    <row r="4" spans="1:9" ht="15.75">
      <c r="A4" s="611"/>
      <c r="B4" s="611"/>
      <c r="C4" s="609"/>
      <c r="D4" s="611"/>
      <c r="E4" s="611"/>
      <c r="F4" s="611"/>
      <c r="G4" s="611"/>
      <c r="H4" s="610"/>
      <c r="I4" s="631"/>
    </row>
    <row r="5" spans="1:9" ht="18.75" customHeight="1">
      <c r="A5" s="605" t="s">
        <v>8</v>
      </c>
      <c r="B5" s="605"/>
      <c r="C5" s="606"/>
      <c r="D5" s="605"/>
      <c r="E5" s="605"/>
      <c r="F5" s="605"/>
      <c r="G5" s="605"/>
      <c r="H5" s="610"/>
      <c r="I5" s="631"/>
    </row>
    <row r="6" spans="1:9" ht="15.75">
      <c r="A6" s="608"/>
      <c r="B6" s="608"/>
      <c r="C6" s="609"/>
      <c r="D6" s="608"/>
      <c r="E6" s="608"/>
      <c r="F6" s="608"/>
      <c r="G6" s="608"/>
      <c r="H6" s="610"/>
      <c r="I6" s="631"/>
    </row>
    <row r="7" spans="1:9" ht="18.75" customHeight="1">
      <c r="A7" s="605" t="s">
        <v>9</v>
      </c>
      <c r="B7" s="605"/>
      <c r="C7" s="606"/>
      <c r="D7" s="605"/>
      <c r="E7" s="605"/>
      <c r="F7" s="453" t="s">
        <v>10</v>
      </c>
      <c r="G7" s="453" t="s">
        <v>11</v>
      </c>
      <c r="H7" s="610"/>
      <c r="I7" s="631"/>
    </row>
    <row r="8" spans="1:9" ht="18.75" customHeight="1">
      <c r="A8" s="605"/>
      <c r="B8" s="605"/>
      <c r="C8" s="606"/>
      <c r="D8" s="605"/>
      <c r="E8" s="605"/>
      <c r="F8" s="453" t="s">
        <v>12</v>
      </c>
      <c r="G8" s="458">
        <f>'ANEXO PB  VI CALCULO BDI'!F49</f>
        <v>0.2764</v>
      </c>
      <c r="H8" s="610"/>
      <c r="I8" s="631"/>
    </row>
    <row r="9" spans="1:9" ht="9" customHeight="1">
      <c r="A9" s="608"/>
      <c r="B9" s="608"/>
      <c r="C9" s="609"/>
      <c r="D9" s="608"/>
      <c r="E9" s="608"/>
      <c r="F9" s="608"/>
      <c r="G9" s="608"/>
      <c r="H9" s="610"/>
      <c r="I9" s="631"/>
    </row>
    <row r="10" spans="1:9" s="592" customFormat="1" ht="13.5" customHeight="1">
      <c r="A10" s="459" t="s">
        <v>13</v>
      </c>
      <c r="B10" s="459" t="s">
        <v>14</v>
      </c>
      <c r="C10" s="612" t="s">
        <v>15</v>
      </c>
      <c r="D10" s="459" t="s">
        <v>16</v>
      </c>
      <c r="E10" s="460" t="s">
        <v>17</v>
      </c>
      <c r="F10" s="460"/>
      <c r="G10" s="460"/>
      <c r="H10" s="613"/>
      <c r="I10" s="632"/>
    </row>
    <row r="11" spans="1:8" ht="15.75">
      <c r="A11" s="568"/>
      <c r="B11" s="568"/>
      <c r="C11" s="614"/>
      <c r="D11" s="568"/>
      <c r="E11" s="460" t="s">
        <v>18</v>
      </c>
      <c r="F11" s="461" t="s">
        <v>19</v>
      </c>
      <c r="G11" s="461" t="s">
        <v>20</v>
      </c>
      <c r="H11" s="615"/>
    </row>
    <row r="12" spans="1:8" ht="15.75">
      <c r="A12" s="616"/>
      <c r="B12" s="462">
        <v>1</v>
      </c>
      <c r="C12" s="497" t="s">
        <v>21</v>
      </c>
      <c r="D12" s="471"/>
      <c r="E12" s="472"/>
      <c r="F12" s="473"/>
      <c r="G12" s="466">
        <f>SUM(G13:G14)</f>
        <v>230.86</v>
      </c>
      <c r="H12" s="511"/>
    </row>
    <row r="13" spans="1:8" ht="31.5" outlineLevel="1">
      <c r="A13" s="476">
        <v>97633</v>
      </c>
      <c r="B13" s="477" t="s">
        <v>22</v>
      </c>
      <c r="C13" s="231" t="s">
        <v>23</v>
      </c>
      <c r="D13" s="477" t="s">
        <v>24</v>
      </c>
      <c r="E13" s="479">
        <f>'ANEXO PB III Mem. de cálculo'!H16</f>
        <v>5.3988</v>
      </c>
      <c r="F13" s="480">
        <v>15.01</v>
      </c>
      <c r="G13" s="480">
        <f>ROUND(E13*F13,2)</f>
        <v>81.04</v>
      </c>
      <c r="H13" s="511"/>
    </row>
    <row r="14" spans="1:8" ht="15.75" outlineLevel="1">
      <c r="A14" s="476" t="str">
        <f>'ANEXO PB IV Comp. auxiliares'!A34</f>
        <v>COMP. 06  DPE</v>
      </c>
      <c r="B14" s="477" t="s">
        <v>25</v>
      </c>
      <c r="C14" s="231" t="s">
        <v>26</v>
      </c>
      <c r="D14" s="477" t="s">
        <v>24</v>
      </c>
      <c r="E14" s="479">
        <f>E13</f>
        <v>5.3988</v>
      </c>
      <c r="F14" s="480">
        <f>'ANEXO PB IV Comp. auxiliares'!F34</f>
        <v>27.75</v>
      </c>
      <c r="G14" s="480">
        <f>ROUND(E14*F14,2)</f>
        <v>149.82</v>
      </c>
      <c r="H14" s="511"/>
    </row>
    <row r="15" spans="1:10" s="593" customFormat="1" ht="15.75" outlineLevel="1">
      <c r="A15" s="608"/>
      <c r="B15" s="608"/>
      <c r="C15" s="609"/>
      <c r="D15" s="608"/>
      <c r="E15" s="608"/>
      <c r="F15" s="608"/>
      <c r="G15" s="608"/>
      <c r="H15" s="511"/>
      <c r="I15" s="488"/>
      <c r="J15" s="488"/>
    </row>
    <row r="16" spans="1:8" ht="15.75">
      <c r="A16" s="616"/>
      <c r="B16" s="462">
        <v>2</v>
      </c>
      <c r="C16" s="497" t="s">
        <v>27</v>
      </c>
      <c r="D16" s="471"/>
      <c r="E16" s="472"/>
      <c r="F16" s="473"/>
      <c r="G16" s="466">
        <f>SUM(G18:G23)</f>
        <v>73.64</v>
      </c>
      <c r="H16" s="511"/>
    </row>
    <row r="17" spans="1:10" s="594" customFormat="1" ht="15.75" outlineLevel="1">
      <c r="A17" s="617"/>
      <c r="B17" s="454" t="s">
        <v>28</v>
      </c>
      <c r="C17" s="618" t="s">
        <v>29</v>
      </c>
      <c r="D17" s="454"/>
      <c r="E17" s="619"/>
      <c r="F17" s="619"/>
      <c r="G17" s="480"/>
      <c r="H17" s="620"/>
      <c r="I17" s="592"/>
      <c r="J17" s="592"/>
    </row>
    <row r="18" spans="1:8" ht="31.5" outlineLevel="1">
      <c r="A18" s="476">
        <v>97641</v>
      </c>
      <c r="B18" s="477" t="s">
        <v>30</v>
      </c>
      <c r="C18" s="231" t="s">
        <v>31</v>
      </c>
      <c r="D18" s="477" t="s">
        <v>24</v>
      </c>
      <c r="E18" s="479">
        <f>'ANEXO PB III Mem. de cálculo'!H26</f>
        <v>1.99</v>
      </c>
      <c r="F18" s="480">
        <v>3.2</v>
      </c>
      <c r="G18" s="480">
        <f>ROUND(E18*F18,2)</f>
        <v>6.37</v>
      </c>
      <c r="H18" s="511"/>
    </row>
    <row r="19" spans="1:8" ht="15.75" outlineLevel="1">
      <c r="A19" s="476">
        <v>96113</v>
      </c>
      <c r="B19" s="477" t="s">
        <v>32</v>
      </c>
      <c r="C19" s="231" t="s">
        <v>33</v>
      </c>
      <c r="D19" s="477" t="s">
        <v>24</v>
      </c>
      <c r="E19" s="479">
        <f>E18</f>
        <v>1.99</v>
      </c>
      <c r="F19" s="480">
        <v>26.14</v>
      </c>
      <c r="G19" s="480">
        <f>ROUND(E19*F19,2)</f>
        <v>52.02</v>
      </c>
      <c r="H19" s="511"/>
    </row>
    <row r="20" spans="1:8" ht="15.75" outlineLevel="1">
      <c r="A20" s="608"/>
      <c r="B20" s="608"/>
      <c r="C20" s="609"/>
      <c r="D20" s="608"/>
      <c r="E20" s="608"/>
      <c r="F20" s="608"/>
      <c r="G20" s="608"/>
      <c r="H20" s="511"/>
    </row>
    <row r="21" spans="1:10" s="594" customFormat="1" ht="15.75" outlineLevel="1">
      <c r="A21" s="617"/>
      <c r="B21" s="454" t="s">
        <v>34</v>
      </c>
      <c r="C21" s="618" t="s">
        <v>35</v>
      </c>
      <c r="D21" s="477"/>
      <c r="E21" s="619"/>
      <c r="F21" s="619"/>
      <c r="G21" s="480"/>
      <c r="H21" s="620"/>
      <c r="I21" s="592"/>
      <c r="J21" s="592"/>
    </row>
    <row r="22" spans="1:8" ht="31.5" outlineLevel="1">
      <c r="A22" s="476">
        <v>97641</v>
      </c>
      <c r="B22" s="477" t="s">
        <v>36</v>
      </c>
      <c r="C22" s="231" t="s">
        <v>31</v>
      </c>
      <c r="D22" s="477" t="s">
        <v>24</v>
      </c>
      <c r="E22" s="479">
        <f>'ANEXO PB III Mem. de cálculo'!H32</f>
        <v>0.52</v>
      </c>
      <c r="F22" s="480">
        <v>3.2</v>
      </c>
      <c r="G22" s="480">
        <f>ROUND(E22*F22,2)</f>
        <v>1.66</v>
      </c>
      <c r="H22" s="511"/>
    </row>
    <row r="23" spans="1:8" ht="15.75" outlineLevel="1">
      <c r="A23" s="476">
        <v>96113</v>
      </c>
      <c r="B23" s="477" t="s">
        <v>37</v>
      </c>
      <c r="C23" s="231" t="s">
        <v>33</v>
      </c>
      <c r="D23" s="477" t="s">
        <v>24</v>
      </c>
      <c r="E23" s="479">
        <f>E22</f>
        <v>0.52</v>
      </c>
      <c r="F23" s="480">
        <v>26.14</v>
      </c>
      <c r="G23" s="480">
        <f>ROUND(E23*F23,2)</f>
        <v>13.59</v>
      </c>
      <c r="H23" s="511"/>
    </row>
    <row r="24" spans="1:10" s="593" customFormat="1" ht="15.75" outlineLevel="1">
      <c r="A24" s="608"/>
      <c r="B24" s="608"/>
      <c r="C24" s="609"/>
      <c r="D24" s="608"/>
      <c r="E24" s="608"/>
      <c r="F24" s="608"/>
      <c r="G24" s="608"/>
      <c r="H24" s="511"/>
      <c r="I24" s="488"/>
      <c r="J24" s="488"/>
    </row>
    <row r="25" spans="1:8" ht="15.75">
      <c r="A25" s="616"/>
      <c r="B25" s="462">
        <v>3</v>
      </c>
      <c r="C25" s="497" t="s">
        <v>38</v>
      </c>
      <c r="D25" s="471"/>
      <c r="E25" s="472"/>
      <c r="F25" s="473"/>
      <c r="G25" s="466">
        <f>SUM(G27:G68)</f>
        <v>39124.090000000004</v>
      </c>
      <c r="H25" s="511"/>
    </row>
    <row r="26" spans="1:8" ht="15.75" outlineLevel="1">
      <c r="A26" s="476"/>
      <c r="B26" s="454" t="s">
        <v>39</v>
      </c>
      <c r="C26" s="618" t="s">
        <v>40</v>
      </c>
      <c r="D26" s="477"/>
      <c r="E26" s="479"/>
      <c r="F26" s="479"/>
      <c r="G26" s="480"/>
      <c r="H26" s="511"/>
    </row>
    <row r="27" spans="1:8" ht="15.75" outlineLevel="1">
      <c r="A27" s="476" t="str">
        <f>'ANEXO PB IV Comp. auxiliares'!A6</f>
        <v>COMP. 01 - DPE</v>
      </c>
      <c r="B27" s="477" t="s">
        <v>41</v>
      </c>
      <c r="C27" s="231" t="s">
        <v>42</v>
      </c>
      <c r="D27" s="477" t="s">
        <v>24</v>
      </c>
      <c r="E27" s="479">
        <f>'ANEXO PB III Mem. de cálculo'!H126</f>
        <v>953.1899999999998</v>
      </c>
      <c r="F27" s="480">
        <f>'ANEXO PB IV Comp. auxiliares'!F6</f>
        <v>1.5499999999999998</v>
      </c>
      <c r="G27" s="480">
        <f>ROUND(E27*F27,2)</f>
        <v>1477.44</v>
      </c>
      <c r="H27" s="511"/>
    </row>
    <row r="28" spans="1:9" ht="31.5" outlineLevel="1">
      <c r="A28" s="476">
        <v>88489</v>
      </c>
      <c r="B28" s="477" t="s">
        <v>43</v>
      </c>
      <c r="C28" s="231" t="s">
        <v>44</v>
      </c>
      <c r="D28" s="477" t="s">
        <v>24</v>
      </c>
      <c r="E28" s="479">
        <f>E27</f>
        <v>953.1899999999998</v>
      </c>
      <c r="F28" s="480">
        <v>10.14</v>
      </c>
      <c r="G28" s="480">
        <f>ROUND(E28*F28,2)</f>
        <v>9665.35</v>
      </c>
      <c r="H28" s="511"/>
      <c r="I28" s="633"/>
    </row>
    <row r="29" spans="1:9" ht="15.75" outlineLevel="1">
      <c r="A29" s="608"/>
      <c r="B29" s="608"/>
      <c r="C29" s="609"/>
      <c r="D29" s="608"/>
      <c r="E29" s="608"/>
      <c r="F29" s="608"/>
      <c r="G29" s="608"/>
      <c r="H29" s="511"/>
      <c r="I29" s="633"/>
    </row>
    <row r="30" spans="1:9" ht="15.75" outlineLevel="1">
      <c r="A30" s="476"/>
      <c r="B30" s="454" t="s">
        <v>45</v>
      </c>
      <c r="C30" s="618" t="s">
        <v>46</v>
      </c>
      <c r="D30" s="477"/>
      <c r="E30" s="621"/>
      <c r="F30" s="480"/>
      <c r="G30" s="480"/>
      <c r="H30" s="511"/>
      <c r="I30" s="633"/>
    </row>
    <row r="31" spans="1:9" ht="15.75" outlineLevel="1">
      <c r="A31" s="476" t="str">
        <f>'ANEXO PB IV Comp. auxiliares'!A11</f>
        <v>COMP. 02 - DPE</v>
      </c>
      <c r="B31" s="477" t="s">
        <v>47</v>
      </c>
      <c r="C31" s="231" t="s">
        <v>48</v>
      </c>
      <c r="D31" s="477" t="s">
        <v>24</v>
      </c>
      <c r="E31" s="479">
        <f>'ANEXO PB III Mem. de cálculo'!H140</f>
        <v>836.58</v>
      </c>
      <c r="F31" s="622">
        <f>'ANEXO PB IV Comp. auxiliares'!F11</f>
        <v>4.37</v>
      </c>
      <c r="G31" s="480">
        <f>ROUND(E31*F31,2)</f>
        <v>3655.85</v>
      </c>
      <c r="H31" s="511"/>
      <c r="I31" s="633"/>
    </row>
    <row r="32" spans="1:9" ht="31.5" outlineLevel="1">
      <c r="A32" s="476">
        <v>88488</v>
      </c>
      <c r="B32" s="477" t="s">
        <v>49</v>
      </c>
      <c r="C32" s="231" t="s">
        <v>50</v>
      </c>
      <c r="D32" s="477" t="s">
        <v>24</v>
      </c>
      <c r="E32" s="479">
        <f>E31</f>
        <v>836.58</v>
      </c>
      <c r="F32" s="480">
        <v>11.64</v>
      </c>
      <c r="G32" s="480">
        <f>ROUND(E32*F32,2)</f>
        <v>9737.79</v>
      </c>
      <c r="H32" s="511"/>
      <c r="I32" s="633"/>
    </row>
    <row r="33" spans="1:9" s="593" customFormat="1" ht="15.75" outlineLevel="1">
      <c r="A33" s="608"/>
      <c r="B33" s="608"/>
      <c r="C33" s="609"/>
      <c r="D33" s="608"/>
      <c r="E33" s="608"/>
      <c r="F33" s="608"/>
      <c r="G33" s="608"/>
      <c r="H33" s="511"/>
      <c r="I33" s="633"/>
    </row>
    <row r="34" spans="1:9" ht="15.75" outlineLevel="1">
      <c r="A34" s="476"/>
      <c r="B34" s="454" t="s">
        <v>51</v>
      </c>
      <c r="C34" s="618" t="s">
        <v>52</v>
      </c>
      <c r="D34" s="477"/>
      <c r="E34" s="621"/>
      <c r="F34" s="480"/>
      <c r="G34" s="480"/>
      <c r="H34" s="511"/>
      <c r="I34" s="633"/>
    </row>
    <row r="35" spans="1:9" ht="15.75" outlineLevel="1">
      <c r="A35" s="476" t="str">
        <f>'ANEXO PB IV Comp. auxiliares'!A16</f>
        <v>COMP. 03- DPE</v>
      </c>
      <c r="B35" s="477" t="s">
        <v>53</v>
      </c>
      <c r="C35" s="231" t="s">
        <v>54</v>
      </c>
      <c r="D35" s="477" t="s">
        <v>24</v>
      </c>
      <c r="E35" s="479">
        <f>'ANEXO PB III Mem. de cálculo'!H154</f>
        <v>61.81</v>
      </c>
      <c r="F35" s="480">
        <f>'ANEXO PB IV Comp. auxiliares'!F16</f>
        <v>7.199999999999999</v>
      </c>
      <c r="G35" s="480">
        <f>ROUND(E35*F35,2)</f>
        <v>445.03</v>
      </c>
      <c r="H35" s="511"/>
      <c r="I35" s="633"/>
    </row>
    <row r="36" spans="1:9" ht="31.5" outlineLevel="1">
      <c r="A36" s="476" t="str">
        <f>'ANEXO PB IV Comp. auxiliares'!A21</f>
        <v>COMP. 04- DPE</v>
      </c>
      <c r="B36" s="477" t="s">
        <v>55</v>
      </c>
      <c r="C36" s="231" t="s">
        <v>56</v>
      </c>
      <c r="D36" s="477" t="s">
        <v>24</v>
      </c>
      <c r="E36" s="479">
        <f>E35</f>
        <v>61.81</v>
      </c>
      <c r="F36" s="480">
        <f>'ANEXO PB IV Comp. auxiliares'!F21</f>
        <v>12.85</v>
      </c>
      <c r="G36" s="480">
        <f>ROUND(E36*F36,2)</f>
        <v>794.26</v>
      </c>
      <c r="H36" s="511"/>
      <c r="I36" s="633"/>
    </row>
    <row r="37" spans="1:9" ht="15.75" outlineLevel="1">
      <c r="A37" s="608"/>
      <c r="B37" s="608"/>
      <c r="C37" s="609"/>
      <c r="D37" s="608"/>
      <c r="E37" s="608"/>
      <c r="F37" s="608"/>
      <c r="G37" s="608"/>
      <c r="H37" s="511"/>
      <c r="I37" s="633"/>
    </row>
    <row r="38" spans="1:9" ht="15.75" outlineLevel="1">
      <c r="A38" s="476"/>
      <c r="B38" s="454" t="s">
        <v>57</v>
      </c>
      <c r="C38" s="618" t="s">
        <v>58</v>
      </c>
      <c r="D38" s="477"/>
      <c r="E38" s="621"/>
      <c r="F38" s="480"/>
      <c r="G38" s="480"/>
      <c r="H38" s="511"/>
      <c r="I38" s="633"/>
    </row>
    <row r="39" spans="1:9" s="593" customFormat="1" ht="15.75" outlineLevel="1">
      <c r="A39" s="476">
        <v>102193</v>
      </c>
      <c r="B39" s="477" t="s">
        <v>59</v>
      </c>
      <c r="C39" s="231" t="s">
        <v>60</v>
      </c>
      <c r="D39" s="477" t="s">
        <v>24</v>
      </c>
      <c r="E39" s="479">
        <f>'ANEXO PB III Mem. de cálculo'!H161</f>
        <v>45.78</v>
      </c>
      <c r="F39" s="479">
        <v>1.33</v>
      </c>
      <c r="G39" s="480">
        <f aca="true" t="shared" si="0" ref="G39:G63">ROUND(E39*F39,2)</f>
        <v>60.89</v>
      </c>
      <c r="H39" s="511"/>
      <c r="I39" s="633"/>
    </row>
    <row r="40" spans="1:9" s="593" customFormat="1" ht="31.5" outlineLevel="1">
      <c r="A40" s="476">
        <v>102214</v>
      </c>
      <c r="B40" s="477" t="s">
        <v>61</v>
      </c>
      <c r="C40" s="231" t="s">
        <v>62</v>
      </c>
      <c r="D40" s="477" t="s">
        <v>24</v>
      </c>
      <c r="E40" s="479">
        <f>E39</f>
        <v>45.78</v>
      </c>
      <c r="F40" s="480">
        <v>13.94</v>
      </c>
      <c r="G40" s="480">
        <f t="shared" si="0"/>
        <v>638.17</v>
      </c>
      <c r="H40" s="511"/>
      <c r="I40" s="633"/>
    </row>
    <row r="41" spans="1:9" s="593" customFormat="1" ht="15.75" outlineLevel="1">
      <c r="A41" s="608"/>
      <c r="B41" s="608"/>
      <c r="C41" s="609"/>
      <c r="D41" s="608"/>
      <c r="E41" s="608"/>
      <c r="F41" s="608"/>
      <c r="G41" s="608"/>
      <c r="H41" s="511"/>
      <c r="I41" s="633"/>
    </row>
    <row r="42" spans="1:9" ht="9.75" customHeight="1" outlineLevel="1">
      <c r="A42" s="476"/>
      <c r="B42" s="454" t="s">
        <v>63</v>
      </c>
      <c r="C42" s="618" t="s">
        <v>64</v>
      </c>
      <c r="D42" s="477"/>
      <c r="E42" s="621"/>
      <c r="F42" s="480"/>
      <c r="G42" s="480"/>
      <c r="H42" s="511"/>
      <c r="I42" s="633"/>
    </row>
    <row r="43" spans="1:9" ht="15.75" outlineLevel="1">
      <c r="A43" s="476">
        <v>100717</v>
      </c>
      <c r="B43" s="477" t="s">
        <v>65</v>
      </c>
      <c r="C43" s="231" t="s">
        <v>66</v>
      </c>
      <c r="D43" s="477" t="s">
        <v>24</v>
      </c>
      <c r="E43" s="479">
        <f>'ANEXO PB III Mem. de cálculo'!H168</f>
        <v>16.009999999999998</v>
      </c>
      <c r="F43" s="480">
        <v>6.96</v>
      </c>
      <c r="G43" s="480">
        <f t="shared" si="0"/>
        <v>111.43</v>
      </c>
      <c r="H43" s="511"/>
      <c r="I43" s="633"/>
    </row>
    <row r="44" spans="1:9" ht="63" outlineLevel="1">
      <c r="A44" s="476">
        <v>100760</v>
      </c>
      <c r="B44" s="477" t="s">
        <v>67</v>
      </c>
      <c r="C44" s="231" t="s">
        <v>68</v>
      </c>
      <c r="D44" s="477" t="s">
        <v>24</v>
      </c>
      <c r="E44" s="479">
        <f>E43</f>
        <v>16.009999999999998</v>
      </c>
      <c r="F44" s="480">
        <v>34.25</v>
      </c>
      <c r="G44" s="480">
        <f t="shared" si="0"/>
        <v>548.34</v>
      </c>
      <c r="H44" s="511"/>
      <c r="I44" s="633"/>
    </row>
    <row r="45" spans="1:9" ht="15.75" outlineLevel="1">
      <c r="A45" s="608"/>
      <c r="B45" s="608"/>
      <c r="C45" s="609"/>
      <c r="D45" s="608"/>
      <c r="E45" s="608"/>
      <c r="F45" s="608"/>
      <c r="G45" s="608"/>
      <c r="H45" s="511"/>
      <c r="I45" s="633"/>
    </row>
    <row r="46" spans="1:9" ht="15.75" outlineLevel="1">
      <c r="A46" s="476"/>
      <c r="B46" s="454" t="s">
        <v>69</v>
      </c>
      <c r="C46" s="618" t="s">
        <v>70</v>
      </c>
      <c r="D46" s="477"/>
      <c r="E46" s="621"/>
      <c r="F46" s="480"/>
      <c r="G46" s="480"/>
      <c r="H46" s="511"/>
      <c r="I46" s="633"/>
    </row>
    <row r="47" spans="1:9" ht="15.75" outlineLevel="1">
      <c r="A47" s="476">
        <v>100717</v>
      </c>
      <c r="B47" s="477" t="s">
        <v>71</v>
      </c>
      <c r="C47" s="231" t="s">
        <v>66</v>
      </c>
      <c r="D47" s="477" t="s">
        <v>24</v>
      </c>
      <c r="E47" s="479">
        <f>'ANEXO PB III Mem. de cálculo'!H175</f>
        <v>129.85</v>
      </c>
      <c r="F47" s="480">
        <v>6.96</v>
      </c>
      <c r="G47" s="480">
        <f t="shared" si="0"/>
        <v>903.76</v>
      </c>
      <c r="H47" s="511"/>
      <c r="I47" s="633"/>
    </row>
    <row r="48" spans="1:9" s="593" customFormat="1" ht="63" outlineLevel="1">
      <c r="A48" s="476">
        <v>100760</v>
      </c>
      <c r="B48" s="477" t="s">
        <v>72</v>
      </c>
      <c r="C48" s="231" t="s">
        <v>68</v>
      </c>
      <c r="D48" s="477" t="s">
        <v>24</v>
      </c>
      <c r="E48" s="479">
        <f>E47</f>
        <v>129.85</v>
      </c>
      <c r="F48" s="480">
        <v>34.25</v>
      </c>
      <c r="G48" s="480">
        <f t="shared" si="0"/>
        <v>4447.36</v>
      </c>
      <c r="H48" s="511"/>
      <c r="I48" s="633"/>
    </row>
    <row r="49" spans="1:9" ht="15.75" outlineLevel="1">
      <c r="A49" s="608"/>
      <c r="B49" s="608"/>
      <c r="C49" s="609"/>
      <c r="D49" s="608"/>
      <c r="E49" s="608"/>
      <c r="F49" s="608"/>
      <c r="G49" s="608"/>
      <c r="H49" s="511"/>
      <c r="I49" s="633"/>
    </row>
    <row r="50" spans="1:9" ht="15.75" outlineLevel="1">
      <c r="A50" s="476"/>
      <c r="B50" s="454" t="s">
        <v>73</v>
      </c>
      <c r="C50" s="618" t="s">
        <v>74</v>
      </c>
      <c r="D50" s="477"/>
      <c r="E50" s="621"/>
      <c r="F50" s="480"/>
      <c r="G50" s="480"/>
      <c r="H50" s="511"/>
      <c r="I50" s="633"/>
    </row>
    <row r="51" spans="1:9" ht="15.75" outlineLevel="1">
      <c r="A51" s="476">
        <v>100717</v>
      </c>
      <c r="B51" s="477" t="s">
        <v>75</v>
      </c>
      <c r="C51" s="231" t="s">
        <v>66</v>
      </c>
      <c r="D51" s="477" t="s">
        <v>24</v>
      </c>
      <c r="E51" s="479">
        <f>'ANEXO PB III Mem. de cálculo'!H182</f>
        <v>120.38</v>
      </c>
      <c r="F51" s="480">
        <v>6.69</v>
      </c>
      <c r="G51" s="480">
        <f t="shared" si="0"/>
        <v>805.34</v>
      </c>
      <c r="H51" s="511"/>
      <c r="I51" s="633"/>
    </row>
    <row r="52" spans="1:9" ht="63" outlineLevel="1">
      <c r="A52" s="476">
        <v>100760</v>
      </c>
      <c r="B52" s="477" t="s">
        <v>76</v>
      </c>
      <c r="C52" s="231" t="s">
        <v>68</v>
      </c>
      <c r="D52" s="477" t="s">
        <v>24</v>
      </c>
      <c r="E52" s="479">
        <f>E51</f>
        <v>120.38</v>
      </c>
      <c r="F52" s="480">
        <v>34.25</v>
      </c>
      <c r="G52" s="480">
        <f t="shared" si="0"/>
        <v>4123.02</v>
      </c>
      <c r="H52" s="511"/>
      <c r="I52" s="633"/>
    </row>
    <row r="53" spans="1:9" ht="15.75" outlineLevel="1">
      <c r="A53" s="608"/>
      <c r="B53" s="608"/>
      <c r="C53" s="609"/>
      <c r="D53" s="608"/>
      <c r="E53" s="608"/>
      <c r="F53" s="608"/>
      <c r="G53" s="608"/>
      <c r="H53" s="511"/>
      <c r="I53" s="633"/>
    </row>
    <row r="54" spans="1:9" s="595" customFormat="1" ht="15.75" outlineLevel="1">
      <c r="A54" s="623"/>
      <c r="B54" s="624" t="s">
        <v>77</v>
      </c>
      <c r="C54" s="625" t="s">
        <v>78</v>
      </c>
      <c r="D54" s="626"/>
      <c r="E54" s="627"/>
      <c r="F54" s="628"/>
      <c r="G54" s="480"/>
      <c r="H54" s="629"/>
      <c r="I54" s="634"/>
    </row>
    <row r="55" spans="1:9" s="595" customFormat="1" ht="15.75" outlineLevel="1">
      <c r="A55" s="623">
        <v>100717</v>
      </c>
      <c r="B55" s="626" t="s">
        <v>79</v>
      </c>
      <c r="C55" s="390" t="s">
        <v>66</v>
      </c>
      <c r="D55" s="626" t="s">
        <v>24</v>
      </c>
      <c r="E55" s="630">
        <f>'ANEXO PB III Mem. de cálculo'!H189</f>
        <v>16.720000000000002</v>
      </c>
      <c r="F55" s="628">
        <v>6.96</v>
      </c>
      <c r="G55" s="480">
        <f t="shared" si="0"/>
        <v>116.37</v>
      </c>
      <c r="H55" s="629"/>
      <c r="I55" s="634"/>
    </row>
    <row r="56" spans="1:9" s="595" customFormat="1" ht="63" outlineLevel="1">
      <c r="A56" s="623">
        <v>100760</v>
      </c>
      <c r="B56" s="626" t="s">
        <v>80</v>
      </c>
      <c r="C56" s="390" t="s">
        <v>68</v>
      </c>
      <c r="D56" s="626" t="s">
        <v>24</v>
      </c>
      <c r="E56" s="630">
        <f>E55</f>
        <v>16.720000000000002</v>
      </c>
      <c r="F56" s="628">
        <v>34.25</v>
      </c>
      <c r="G56" s="480">
        <f t="shared" si="0"/>
        <v>572.66</v>
      </c>
      <c r="H56" s="629"/>
      <c r="I56" s="634"/>
    </row>
    <row r="57" spans="1:9" ht="15.75" outlineLevel="1">
      <c r="A57" s="608"/>
      <c r="B57" s="608"/>
      <c r="C57" s="609"/>
      <c r="D57" s="608"/>
      <c r="E57" s="608"/>
      <c r="F57" s="608"/>
      <c r="G57" s="608"/>
      <c r="H57" s="511"/>
      <c r="I57" s="633"/>
    </row>
    <row r="58" spans="1:9" ht="15.75" outlineLevel="1">
      <c r="A58" s="476"/>
      <c r="B58" s="454" t="s">
        <v>81</v>
      </c>
      <c r="C58" s="618" t="s">
        <v>82</v>
      </c>
      <c r="D58" s="477"/>
      <c r="E58" s="621"/>
      <c r="F58" s="480"/>
      <c r="G58" s="480"/>
      <c r="H58" s="511"/>
      <c r="I58" s="633"/>
    </row>
    <row r="59" spans="1:9" ht="31.5" outlineLevel="1">
      <c r="A59" s="476">
        <v>102491</v>
      </c>
      <c r="B59" s="477" t="s">
        <v>83</v>
      </c>
      <c r="C59" s="231" t="s">
        <v>84</v>
      </c>
      <c r="D59" s="477" t="s">
        <v>24</v>
      </c>
      <c r="E59" s="479">
        <f>'ANEXO PB III Mem. de cálculo'!H196</f>
        <v>9.44464</v>
      </c>
      <c r="F59" s="480">
        <v>12.89</v>
      </c>
      <c r="G59" s="480">
        <f t="shared" si="0"/>
        <v>121.74</v>
      </c>
      <c r="H59" s="511"/>
      <c r="I59" s="633"/>
    </row>
    <row r="60" spans="1:9" s="593" customFormat="1" ht="15.75" outlineLevel="1">
      <c r="A60" s="608"/>
      <c r="B60" s="608"/>
      <c r="C60" s="609"/>
      <c r="D60" s="608"/>
      <c r="E60" s="608"/>
      <c r="F60" s="608"/>
      <c r="G60" s="608"/>
      <c r="H60" s="511"/>
      <c r="I60" s="633"/>
    </row>
    <row r="61" spans="1:9" ht="15.75" outlineLevel="1">
      <c r="A61" s="476"/>
      <c r="B61" s="454" t="s">
        <v>85</v>
      </c>
      <c r="C61" s="618" t="s">
        <v>86</v>
      </c>
      <c r="D61" s="477"/>
      <c r="E61" s="621"/>
      <c r="F61" s="480"/>
      <c r="G61" s="480"/>
      <c r="H61" s="511"/>
      <c r="I61" s="633"/>
    </row>
    <row r="62" spans="1:9" s="593" customFormat="1" ht="15.75" outlineLevel="1">
      <c r="A62" s="476">
        <v>100717</v>
      </c>
      <c r="B62" s="477" t="s">
        <v>87</v>
      </c>
      <c r="C62" s="231" t="s">
        <v>66</v>
      </c>
      <c r="D62" s="477"/>
      <c r="E62" s="479">
        <f>'ANEXO PB III Mem. de cálculo'!H203</f>
        <v>6.880000000000001</v>
      </c>
      <c r="F62" s="480">
        <v>6.96</v>
      </c>
      <c r="G62" s="480">
        <f t="shared" si="0"/>
        <v>47.88</v>
      </c>
      <c r="H62" s="511"/>
      <c r="I62" s="633"/>
    </row>
    <row r="63" spans="1:9" s="593" customFormat="1" ht="63" outlineLevel="1">
      <c r="A63" s="476">
        <v>100760</v>
      </c>
      <c r="B63" s="477" t="s">
        <v>88</v>
      </c>
      <c r="C63" s="231" t="s">
        <v>68</v>
      </c>
      <c r="D63" s="477" t="s">
        <v>24</v>
      </c>
      <c r="E63" s="479">
        <f>E62</f>
        <v>6.880000000000001</v>
      </c>
      <c r="F63" s="480">
        <v>34.25</v>
      </c>
      <c r="G63" s="480">
        <f t="shared" si="0"/>
        <v>235.64</v>
      </c>
      <c r="H63" s="511"/>
      <c r="I63" s="633"/>
    </row>
    <row r="64" spans="1:9" s="593" customFormat="1" ht="15.75" outlineLevel="1">
      <c r="A64" s="608"/>
      <c r="B64" s="608"/>
      <c r="C64" s="609"/>
      <c r="D64" s="608"/>
      <c r="E64" s="608"/>
      <c r="F64" s="608"/>
      <c r="G64" s="608"/>
      <c r="H64" s="511"/>
      <c r="I64" s="633"/>
    </row>
    <row r="65" spans="1:9" s="593" customFormat="1" ht="15.75" outlineLevel="1">
      <c r="A65" s="476"/>
      <c r="B65" s="454" t="s">
        <v>89</v>
      </c>
      <c r="C65" s="618" t="s">
        <v>90</v>
      </c>
      <c r="D65" s="477"/>
      <c r="E65" s="479"/>
      <c r="F65" s="480"/>
      <c r="G65" s="480"/>
      <c r="H65" s="511"/>
      <c r="I65" s="633"/>
    </row>
    <row r="66" spans="1:9" s="593" customFormat="1" ht="15.75" outlineLevel="1">
      <c r="A66" s="476">
        <v>102513</v>
      </c>
      <c r="B66" s="477" t="s">
        <v>91</v>
      </c>
      <c r="C66" s="231" t="s">
        <v>92</v>
      </c>
      <c r="D66" s="477" t="s">
        <v>24</v>
      </c>
      <c r="E66" s="479">
        <f>'ANEXO PB III Mem. de cálculo'!H207</f>
        <v>3.2</v>
      </c>
      <c r="F66" s="480">
        <v>32.58</v>
      </c>
      <c r="G66" s="480">
        <f aca="true" t="shared" si="1" ref="G66:G71">ROUND(E66*F66,2)</f>
        <v>104.26</v>
      </c>
      <c r="H66" s="511"/>
      <c r="I66" s="633"/>
    </row>
    <row r="67" spans="1:9" s="593" customFormat="1" ht="15.75" outlineLevel="1">
      <c r="A67" s="476">
        <v>102513</v>
      </c>
      <c r="B67" s="477" t="s">
        <v>93</v>
      </c>
      <c r="C67" s="231" t="s">
        <v>94</v>
      </c>
      <c r="D67" s="477" t="s">
        <v>24</v>
      </c>
      <c r="E67" s="479">
        <f>'ANEXO PB III Mem. de cálculo'!H208</f>
        <v>4</v>
      </c>
      <c r="F67" s="480">
        <v>32.58</v>
      </c>
      <c r="G67" s="480">
        <f t="shared" si="1"/>
        <v>130.32</v>
      </c>
      <c r="H67" s="511"/>
      <c r="I67" s="633"/>
    </row>
    <row r="68" spans="1:9" s="593" customFormat="1" ht="15.75" outlineLevel="1">
      <c r="A68" s="476">
        <v>102513</v>
      </c>
      <c r="B68" s="477" t="s">
        <v>95</v>
      </c>
      <c r="C68" s="231" t="s">
        <v>96</v>
      </c>
      <c r="D68" s="477" t="s">
        <v>24</v>
      </c>
      <c r="E68" s="479">
        <f>'ANEXO PB III Mem. de cálculo'!H209</f>
        <v>11.7</v>
      </c>
      <c r="F68" s="480">
        <v>32.58</v>
      </c>
      <c r="G68" s="480">
        <f t="shared" si="1"/>
        <v>381.19</v>
      </c>
      <c r="H68" s="511"/>
      <c r="I68" s="633"/>
    </row>
    <row r="69" spans="1:9" s="593" customFormat="1" ht="15.75" outlineLevel="1">
      <c r="A69" s="608"/>
      <c r="B69" s="608"/>
      <c r="C69" s="609"/>
      <c r="D69" s="608"/>
      <c r="E69" s="608"/>
      <c r="F69" s="608"/>
      <c r="G69" s="608"/>
      <c r="H69" s="511"/>
      <c r="I69" s="633"/>
    </row>
    <row r="70" spans="1:8" ht="15.75">
      <c r="A70" s="616"/>
      <c r="B70" s="462">
        <v>4</v>
      </c>
      <c r="C70" s="497" t="s">
        <v>97</v>
      </c>
      <c r="D70" s="471"/>
      <c r="E70" s="472"/>
      <c r="F70" s="473"/>
      <c r="G70" s="466">
        <f>SUM(G72:G74)</f>
        <v>1116.9</v>
      </c>
      <c r="H70" s="511"/>
    </row>
    <row r="71" spans="1:9" s="593" customFormat="1" ht="15.75" outlineLevel="1">
      <c r="A71" s="476"/>
      <c r="B71" s="454" t="s">
        <v>98</v>
      </c>
      <c r="C71" s="618" t="s">
        <v>99</v>
      </c>
      <c r="D71" s="477"/>
      <c r="E71" s="479"/>
      <c r="F71" s="480"/>
      <c r="G71" s="480"/>
      <c r="H71" s="511"/>
      <c r="I71" s="633"/>
    </row>
    <row r="72" spans="1:9" ht="15.75" outlineLevel="1">
      <c r="A72" s="476" t="str">
        <f>'ANEXO PB IV Comp. auxiliares'!A27</f>
        <v>COMP. 05  DPE</v>
      </c>
      <c r="B72" s="477" t="s">
        <v>100</v>
      </c>
      <c r="C72" s="231" t="s">
        <v>101</v>
      </c>
      <c r="D72" s="477" t="s">
        <v>24</v>
      </c>
      <c r="E72" s="479">
        <f>'ANEXO PB III Mem. de cálculo'!H220</f>
        <v>81.8</v>
      </c>
      <c r="F72" s="480">
        <f>'ANEXO PB IV Comp. auxiliares'!F27</f>
        <v>7.549999999999999</v>
      </c>
      <c r="G72" s="480">
        <f>ROUND(E72*F72,2)</f>
        <v>617.59</v>
      </c>
      <c r="H72" s="511"/>
      <c r="I72" s="633"/>
    </row>
    <row r="73" spans="1:9" s="593" customFormat="1" ht="15.75" outlineLevel="1">
      <c r="A73" s="476"/>
      <c r="B73" s="454" t="s">
        <v>102</v>
      </c>
      <c r="C73" s="618" t="s">
        <v>103</v>
      </c>
      <c r="D73" s="477"/>
      <c r="E73" s="479"/>
      <c r="F73" s="480"/>
      <c r="G73" s="480"/>
      <c r="H73" s="511"/>
      <c r="I73" s="633"/>
    </row>
    <row r="74" spans="1:9" s="488" customFormat="1" ht="15.75" outlineLevel="1">
      <c r="A74" s="476">
        <v>99811</v>
      </c>
      <c r="B74" s="477" t="s">
        <v>104</v>
      </c>
      <c r="C74" s="231" t="s">
        <v>105</v>
      </c>
      <c r="D74" s="477" t="s">
        <v>24</v>
      </c>
      <c r="E74" s="479">
        <v>215.22</v>
      </c>
      <c r="F74" s="480">
        <v>2.32</v>
      </c>
      <c r="G74" s="480">
        <f>ROUND(E74*F74,2)</f>
        <v>499.31</v>
      </c>
      <c r="H74" s="511"/>
      <c r="I74" s="633"/>
    </row>
    <row r="75" spans="1:9" ht="15.75" outlineLevel="1">
      <c r="A75" s="608"/>
      <c r="B75" s="608"/>
      <c r="C75" s="609"/>
      <c r="D75" s="608"/>
      <c r="E75" s="608"/>
      <c r="F75" s="608"/>
      <c r="G75" s="608"/>
      <c r="H75" s="511"/>
      <c r="I75" s="633"/>
    </row>
    <row r="76" spans="1:9" ht="15.75" outlineLevel="1">
      <c r="A76" s="616"/>
      <c r="B76" s="462">
        <v>5</v>
      </c>
      <c r="C76" s="497" t="s">
        <v>106</v>
      </c>
      <c r="D76" s="471"/>
      <c r="E76" s="472"/>
      <c r="F76" s="473"/>
      <c r="G76" s="466">
        <f>SUM(G77:G81)</f>
        <v>293.82</v>
      </c>
      <c r="H76" s="511"/>
      <c r="I76" s="633"/>
    </row>
    <row r="77" spans="1:9" ht="31.5" outlineLevel="1">
      <c r="A77" s="476" t="str">
        <f>'ANEXO PB  V Cotações'!A6</f>
        <v>COTAÇÃO 01</v>
      </c>
      <c r="B77" s="477" t="s">
        <v>107</v>
      </c>
      <c r="C77" s="231" t="s">
        <v>108</v>
      </c>
      <c r="D77" s="477" t="s">
        <v>109</v>
      </c>
      <c r="E77" s="479">
        <f>'ANEXO PB III Mem. de cálculo'!H224</f>
        <v>1</v>
      </c>
      <c r="F77" s="480">
        <f>'ANEXO PB  V Cotações'!E8</f>
        <v>89.58</v>
      </c>
      <c r="G77" s="480">
        <f>ROUND(E77*F77,2)</f>
        <v>89.58</v>
      </c>
      <c r="H77" s="511"/>
      <c r="I77" s="633"/>
    </row>
    <row r="78" spans="1:9" ht="15.75" outlineLevel="1">
      <c r="A78" s="476" t="str">
        <f>'ANEXO PB  V Cotações'!A10</f>
        <v>COTAÇÃO 02</v>
      </c>
      <c r="B78" s="477" t="s">
        <v>110</v>
      </c>
      <c r="C78" s="231" t="s">
        <v>111</v>
      </c>
      <c r="D78" s="477" t="s">
        <v>109</v>
      </c>
      <c r="E78" s="479">
        <f>'ANEXO PB III Mem. de cálculo'!H225</f>
        <v>2</v>
      </c>
      <c r="F78" s="480">
        <f>'ANEXO PB  V Cotações'!E12</f>
        <v>68.65</v>
      </c>
      <c r="G78" s="480">
        <f>ROUND(E78*F78,2)</f>
        <v>137.3</v>
      </c>
      <c r="H78" s="511"/>
      <c r="I78" s="633"/>
    </row>
    <row r="79" spans="1:9" ht="15.75" outlineLevel="1">
      <c r="A79" s="476" t="str">
        <f>'ANEXO PB  V Cotações'!A14</f>
        <v>COTAÇÃO 03</v>
      </c>
      <c r="B79" s="477" t="s">
        <v>112</v>
      </c>
      <c r="C79" s="231" t="s">
        <v>113</v>
      </c>
      <c r="D79" s="477" t="s">
        <v>109</v>
      </c>
      <c r="E79" s="479">
        <f>'ANEXO PB III Mem. de cálculo'!H226</f>
        <v>1</v>
      </c>
      <c r="F79" s="480">
        <f>'ANEXO PB  V Cotações'!E16</f>
        <v>7.94</v>
      </c>
      <c r="G79" s="480">
        <f>ROUND(E79*F79,2)</f>
        <v>7.94</v>
      </c>
      <c r="H79" s="511"/>
      <c r="I79" s="633"/>
    </row>
    <row r="80" spans="1:9" ht="15.75" outlineLevel="1">
      <c r="A80" s="476" t="str">
        <f>'ANEXO PB  V Cotações'!A18</f>
        <v>COTAÇÃO 04</v>
      </c>
      <c r="B80" s="477" t="s">
        <v>114</v>
      </c>
      <c r="C80" s="231" t="s">
        <v>115</v>
      </c>
      <c r="D80" s="477" t="s">
        <v>109</v>
      </c>
      <c r="E80" s="479">
        <f>'ANEXO PB III Mem. de cálculo'!H227</f>
        <v>1</v>
      </c>
      <c r="F80" s="480">
        <f>'ANEXO PB  V Cotações'!E20</f>
        <v>3.5</v>
      </c>
      <c r="G80" s="480">
        <f>ROUND(E80*F80,2)</f>
        <v>3.5</v>
      </c>
      <c r="H80" s="511"/>
      <c r="I80" s="633"/>
    </row>
    <row r="81" spans="1:7" ht="15.75">
      <c r="A81" s="476" t="str">
        <f>'ANEXO PB  V Cotações'!A22</f>
        <v>COTAÇÃO 05</v>
      </c>
      <c r="B81" s="477" t="s">
        <v>116</v>
      </c>
      <c r="C81" s="635" t="s">
        <v>117</v>
      </c>
      <c r="D81" s="477" t="s">
        <v>109</v>
      </c>
      <c r="E81" s="636">
        <f>'ANEXO PB III Mem. de cálculo'!H228</f>
        <v>3</v>
      </c>
      <c r="F81" s="637">
        <f>'ANEXO PB  V Cotações'!E24</f>
        <v>18.5</v>
      </c>
      <c r="G81" s="480">
        <f>ROUND(E81*F81,2)</f>
        <v>55.5</v>
      </c>
    </row>
    <row r="82" spans="1:17" ht="15.75">
      <c r="A82" s="608"/>
      <c r="B82" s="608"/>
      <c r="C82" s="609"/>
      <c r="D82" s="608"/>
      <c r="E82" s="608"/>
      <c r="F82" s="608"/>
      <c r="G82" s="608"/>
      <c r="H82" s="638"/>
      <c r="K82" s="593"/>
      <c r="L82" s="593"/>
      <c r="M82" s="593"/>
      <c r="N82" s="593"/>
      <c r="O82" s="593"/>
      <c r="P82" s="593"/>
      <c r="Q82" s="593"/>
    </row>
    <row r="83" spans="1:9" ht="15.75" outlineLevel="1">
      <c r="A83" s="616"/>
      <c r="B83" s="462">
        <v>6</v>
      </c>
      <c r="C83" s="497" t="s">
        <v>118</v>
      </c>
      <c r="D83" s="471"/>
      <c r="E83" s="472"/>
      <c r="F83" s="473"/>
      <c r="G83" s="466">
        <f>SUM(G84:G87)</f>
        <v>3011.05</v>
      </c>
      <c r="H83" s="511"/>
      <c r="I83" s="633"/>
    </row>
    <row r="84" spans="1:9" ht="15.75" outlineLevel="1">
      <c r="A84" s="476" t="str">
        <f>'ANEXO PB  V Cotações'!A27</f>
        <v>COTAÇÃO 06</v>
      </c>
      <c r="B84" s="477" t="s">
        <v>119</v>
      </c>
      <c r="C84" s="231" t="s">
        <v>120</v>
      </c>
      <c r="D84" s="477" t="s">
        <v>109</v>
      </c>
      <c r="E84" s="479">
        <f>'ANEXO PB III Mem. de cálculo'!H234</f>
        <v>15</v>
      </c>
      <c r="F84" s="480">
        <f>'ANEXO PB  V Cotações'!E29</f>
        <v>19.5</v>
      </c>
      <c r="G84" s="480">
        <f>ROUND(E84*F84,2)</f>
        <v>292.5</v>
      </c>
      <c r="H84" s="511"/>
      <c r="I84" s="633"/>
    </row>
    <row r="85" spans="1:9" ht="15.75" outlineLevel="1">
      <c r="A85" s="476" t="str">
        <f>'ANEXO PB  V Cotações'!A31</f>
        <v>COTAÇÃO 07</v>
      </c>
      <c r="B85" s="477" t="s">
        <v>121</v>
      </c>
      <c r="C85" s="231" t="s">
        <v>122</v>
      </c>
      <c r="D85" s="477" t="s">
        <v>109</v>
      </c>
      <c r="E85" s="479">
        <f>'ANEXO PB III Mem. de cálculo'!H235</f>
        <v>56</v>
      </c>
      <c r="F85" s="480">
        <f>'ANEXO PB  V Cotações'!E33</f>
        <v>15.5</v>
      </c>
      <c r="G85" s="480">
        <f>ROUND(E85*F85,2)</f>
        <v>868</v>
      </c>
      <c r="H85" s="511"/>
      <c r="I85" s="633"/>
    </row>
    <row r="86" spans="1:9" ht="31.5" outlineLevel="1">
      <c r="A86" s="476" t="str">
        <f>'ANEXO PB  V Cotações'!A35</f>
        <v>COTAÇÃO 08</v>
      </c>
      <c r="B86" s="477" t="s">
        <v>123</v>
      </c>
      <c r="C86" s="231" t="s">
        <v>124</v>
      </c>
      <c r="D86" s="477" t="s">
        <v>109</v>
      </c>
      <c r="E86" s="479">
        <f>'ANEXO PB III Mem. de cálculo'!H236</f>
        <v>9</v>
      </c>
      <c r="F86" s="480">
        <f>'ANEXO PB  V Cotações'!E37</f>
        <v>187.10222222222222</v>
      </c>
      <c r="G86" s="480">
        <f aca="true" t="shared" si="2" ref="G86:G91">ROUND(E86*F86,2)</f>
        <v>1683.92</v>
      </c>
      <c r="H86" s="511"/>
      <c r="I86" s="633"/>
    </row>
    <row r="87" spans="1:9" ht="31.5" outlineLevel="1">
      <c r="A87" s="476" t="str">
        <f>'ANEXO PB  V Cotações'!A39</f>
        <v>COTAÇÃO 09</v>
      </c>
      <c r="B87" s="477" t="s">
        <v>125</v>
      </c>
      <c r="C87" s="231" t="s">
        <v>126</v>
      </c>
      <c r="D87" s="477" t="s">
        <v>109</v>
      </c>
      <c r="E87" s="479">
        <f>'ANEXO PB III Mem. de cálculo'!H237</f>
        <v>1</v>
      </c>
      <c r="F87" s="480">
        <f>'ANEXO PB  V Cotações'!E41</f>
        <v>166.63</v>
      </c>
      <c r="G87" s="480">
        <f t="shared" si="2"/>
        <v>166.63</v>
      </c>
      <c r="H87" s="511"/>
      <c r="I87" s="633"/>
    </row>
    <row r="88" spans="1:10" s="593" customFormat="1" ht="15.75" outlineLevel="1">
      <c r="A88" s="608"/>
      <c r="B88" s="608"/>
      <c r="C88" s="609"/>
      <c r="D88" s="608"/>
      <c r="E88" s="608"/>
      <c r="F88" s="608"/>
      <c r="G88" s="608"/>
      <c r="H88" s="639"/>
      <c r="I88" s="633"/>
      <c r="J88" s="488"/>
    </row>
    <row r="89" spans="1:9" ht="15.75" outlineLevel="1">
      <c r="A89" s="616"/>
      <c r="B89" s="462">
        <v>7</v>
      </c>
      <c r="C89" s="497" t="s">
        <v>127</v>
      </c>
      <c r="D89" s="471"/>
      <c r="E89" s="472"/>
      <c r="F89" s="473"/>
      <c r="G89" s="466">
        <f>SUM(G90:G93)</f>
        <v>457.16</v>
      </c>
      <c r="H89" s="511"/>
      <c r="I89" s="633"/>
    </row>
    <row r="90" spans="1:9" s="593" customFormat="1" ht="15.75" outlineLevel="1">
      <c r="A90" s="476"/>
      <c r="B90" s="454" t="s">
        <v>128</v>
      </c>
      <c r="C90" s="618" t="s">
        <v>129</v>
      </c>
      <c r="D90" s="477"/>
      <c r="E90" s="479"/>
      <c r="F90" s="480"/>
      <c r="G90" s="480"/>
      <c r="H90" s="511"/>
      <c r="I90" s="633"/>
    </row>
    <row r="91" spans="1:8" ht="31.5" outlineLevel="1">
      <c r="A91" s="476" t="str">
        <f>'ANEXO PB IV Comp. auxiliares'!A41</f>
        <v>COMP. 07  DPE</v>
      </c>
      <c r="B91" s="477" t="s">
        <v>130</v>
      </c>
      <c r="C91" s="231" t="s">
        <v>131</v>
      </c>
      <c r="D91" s="477" t="s">
        <v>24</v>
      </c>
      <c r="E91" s="479">
        <f>'ANEXO PB III Mem. de cálculo'!H243</f>
        <v>0.15</v>
      </c>
      <c r="F91" s="480">
        <f>'ANEXO PB IV Comp. auxiliares'!F41</f>
        <v>180.3317</v>
      </c>
      <c r="G91" s="480">
        <f t="shared" si="2"/>
        <v>27.05</v>
      </c>
      <c r="H91" s="511"/>
    </row>
    <row r="92" spans="1:9" s="593" customFormat="1" ht="15.75" outlineLevel="1">
      <c r="A92" s="476"/>
      <c r="B92" s="454" t="s">
        <v>132</v>
      </c>
      <c r="C92" s="618" t="s">
        <v>133</v>
      </c>
      <c r="D92" s="477"/>
      <c r="E92" s="479"/>
      <c r="F92" s="480"/>
      <c r="G92" s="480"/>
      <c r="H92" s="511"/>
      <c r="I92" s="633"/>
    </row>
    <row r="93" spans="1:9" ht="31.5" outlineLevel="1">
      <c r="A93" s="476" t="str">
        <f>'ANEXO PB IV Comp. auxiliares'!A48</f>
        <v>COMP. 08  DPE</v>
      </c>
      <c r="B93" s="477" t="s">
        <v>134</v>
      </c>
      <c r="C93" s="231" t="s">
        <v>135</v>
      </c>
      <c r="D93" s="477" t="s">
        <v>24</v>
      </c>
      <c r="E93" s="479">
        <f>'ANEXO PB III Mem. de cálculo'!H247</f>
        <v>1.62</v>
      </c>
      <c r="F93" s="480">
        <f>'ANEXO PB IV Comp. auxiliares'!F48</f>
        <v>265.49742</v>
      </c>
      <c r="G93" s="480">
        <f>ROUND(E93*F93,2)</f>
        <v>430.11</v>
      </c>
      <c r="H93" s="511"/>
      <c r="I93" s="633"/>
    </row>
    <row r="94" spans="1:9" ht="15.75" outlineLevel="1">
      <c r="A94" s="608"/>
      <c r="B94" s="608"/>
      <c r="C94" s="609"/>
      <c r="D94" s="608"/>
      <c r="E94" s="608"/>
      <c r="F94" s="608"/>
      <c r="G94" s="608"/>
      <c r="H94" s="511"/>
      <c r="I94" s="633"/>
    </row>
    <row r="95" spans="1:9" ht="15.75" outlineLevel="1">
      <c r="A95" s="616"/>
      <c r="B95" s="462">
        <v>8</v>
      </c>
      <c r="C95" s="497" t="s">
        <v>136</v>
      </c>
      <c r="D95" s="471"/>
      <c r="E95" s="472"/>
      <c r="F95" s="473"/>
      <c r="G95" s="466">
        <f>SUM(G96:G97)</f>
        <v>6335.53</v>
      </c>
      <c r="H95" s="511"/>
      <c r="I95" s="633"/>
    </row>
    <row r="96" spans="1:10" s="593" customFormat="1" ht="15.75" outlineLevel="1">
      <c r="A96" s="476" t="str">
        <f>'ANEXO PB IV Comp. auxiliares'!A67</f>
        <v>COMP. 11  DPE</v>
      </c>
      <c r="B96" s="477" t="s">
        <v>137</v>
      </c>
      <c r="C96" s="231" t="s">
        <v>138</v>
      </c>
      <c r="D96" s="477" t="s">
        <v>109</v>
      </c>
      <c r="E96" s="640">
        <v>1</v>
      </c>
      <c r="F96" s="480">
        <f>'ANEXO PB IV Comp. auxiliares'!F67</f>
        <v>6246.75</v>
      </c>
      <c r="G96" s="480">
        <f>E96*F96</f>
        <v>6246.75</v>
      </c>
      <c r="H96" s="639"/>
      <c r="I96" s="633"/>
      <c r="J96" s="488"/>
    </row>
    <row r="97" spans="1:10" s="593" customFormat="1" ht="15.75" outlineLevel="1">
      <c r="A97" s="476" t="s">
        <v>139</v>
      </c>
      <c r="B97" s="477" t="s">
        <v>140</v>
      </c>
      <c r="C97" s="231" t="s">
        <v>141</v>
      </c>
      <c r="D97" s="477" t="s">
        <v>109</v>
      </c>
      <c r="E97" s="640">
        <v>1</v>
      </c>
      <c r="F97" s="480">
        <v>88.78</v>
      </c>
      <c r="G97" s="480">
        <f>E97*F97</f>
        <v>88.78</v>
      </c>
      <c r="H97" s="639"/>
      <c r="I97" s="633"/>
      <c r="J97" s="488"/>
    </row>
    <row r="98" spans="1:10" s="593" customFormat="1" ht="15.75" outlineLevel="1">
      <c r="A98" s="608"/>
      <c r="B98" s="608"/>
      <c r="C98" s="609"/>
      <c r="D98" s="608"/>
      <c r="E98" s="608"/>
      <c r="F98" s="608"/>
      <c r="G98" s="608"/>
      <c r="H98" s="639"/>
      <c r="I98" s="633"/>
      <c r="J98" s="488"/>
    </row>
    <row r="99" spans="1:9" s="239" customFormat="1" ht="15.75" customHeight="1">
      <c r="A99" s="641" t="s">
        <v>142</v>
      </c>
      <c r="B99" s="642"/>
      <c r="C99" s="642"/>
      <c r="D99" s="642"/>
      <c r="E99" s="643"/>
      <c r="F99" s="644">
        <f>G12+G16+G25+G70+G76+G83+G89+G95</f>
        <v>50643.05000000001</v>
      </c>
      <c r="G99" s="645"/>
      <c r="H99" s="646"/>
      <c r="I99" s="647"/>
    </row>
    <row r="100" spans="1:8" s="239" customFormat="1" ht="15.75" customHeight="1">
      <c r="A100" s="641" t="s">
        <v>143</v>
      </c>
      <c r="B100" s="642"/>
      <c r="C100" s="642"/>
      <c r="D100" s="643"/>
      <c r="E100" s="484">
        <f>'ANEXO PB  VI CALCULO BDI'!F49</f>
        <v>0.2764</v>
      </c>
      <c r="F100" s="644">
        <f>ROUND(F99*(1+E100),2)</f>
        <v>64640.79</v>
      </c>
      <c r="G100" s="645"/>
      <c r="H100" s="647"/>
    </row>
    <row r="101" spans="1:8" s="239" customFormat="1" ht="15.75" customHeight="1">
      <c r="A101" s="648"/>
      <c r="B101" s="648"/>
      <c r="C101" s="649"/>
      <c r="D101" s="648"/>
      <c r="E101" s="648"/>
      <c r="F101" s="648"/>
      <c r="G101" s="648"/>
      <c r="H101" s="647"/>
    </row>
    <row r="102" spans="1:7" s="239" customFormat="1" ht="34.5" customHeight="1">
      <c r="A102" s="526" t="s">
        <v>144</v>
      </c>
      <c r="B102" s="526"/>
      <c r="C102" s="526"/>
      <c r="D102" s="526"/>
      <c r="E102" s="526"/>
      <c r="F102" s="526"/>
      <c r="G102" s="526"/>
    </row>
    <row r="103" spans="1:17" s="596" customFormat="1" ht="15.75">
      <c r="A103" s="650"/>
      <c r="B103" s="651"/>
      <c r="C103" s="600"/>
      <c r="D103" s="601"/>
      <c r="E103" s="602"/>
      <c r="F103" s="603"/>
      <c r="G103" s="603"/>
      <c r="H103" s="604"/>
      <c r="I103" s="488"/>
      <c r="J103" s="488"/>
      <c r="K103" s="488"/>
      <c r="L103" s="488"/>
      <c r="M103" s="488"/>
      <c r="N103" s="488"/>
      <c r="O103" s="488"/>
      <c r="P103" s="488"/>
      <c r="Q103" s="488"/>
    </row>
    <row r="104" spans="1:17" s="596" customFormat="1" ht="15.75">
      <c r="A104" s="650"/>
      <c r="B104" s="651"/>
      <c r="C104" s="600"/>
      <c r="D104" s="601"/>
      <c r="E104" s="602"/>
      <c r="F104" s="603"/>
      <c r="G104" s="603"/>
      <c r="H104" s="604"/>
      <c r="I104" s="488"/>
      <c r="J104" s="488"/>
      <c r="K104" s="488"/>
      <c r="L104" s="488"/>
      <c r="M104" s="488"/>
      <c r="N104" s="488"/>
      <c r="O104" s="488"/>
      <c r="P104" s="488"/>
      <c r="Q104" s="488"/>
    </row>
    <row r="105" spans="1:17" s="596" customFormat="1" ht="15.75">
      <c r="A105" s="650"/>
      <c r="B105" s="651"/>
      <c r="C105" s="600"/>
      <c r="D105" s="601"/>
      <c r="E105" s="602"/>
      <c r="F105" s="603"/>
      <c r="G105" s="603"/>
      <c r="H105" s="604"/>
      <c r="I105" s="488"/>
      <c r="J105" s="488"/>
      <c r="K105" s="488"/>
      <c r="L105" s="488"/>
      <c r="M105" s="488"/>
      <c r="N105" s="488"/>
      <c r="O105" s="488"/>
      <c r="P105" s="488"/>
      <c r="Q105" s="488"/>
    </row>
    <row r="106" spans="1:17" s="597" customFormat="1" ht="15.75">
      <c r="A106" s="650"/>
      <c r="B106" s="651"/>
      <c r="C106" s="600"/>
      <c r="D106" s="601"/>
      <c r="E106" s="602"/>
      <c r="F106" s="603"/>
      <c r="G106" s="603"/>
      <c r="H106" s="604"/>
      <c r="I106" s="488"/>
      <c r="J106" s="488"/>
      <c r="K106" s="488"/>
      <c r="L106" s="488"/>
      <c r="M106" s="488"/>
      <c r="N106" s="488"/>
      <c r="O106" s="488"/>
      <c r="P106" s="488"/>
      <c r="Q106" s="488"/>
    </row>
    <row r="107" spans="1:17" s="597" customFormat="1" ht="15.75">
      <c r="A107" s="599"/>
      <c r="B107" s="651"/>
      <c r="C107" s="600"/>
      <c r="D107" s="601"/>
      <c r="E107" s="602"/>
      <c r="F107" s="603"/>
      <c r="G107" s="603"/>
      <c r="H107" s="604"/>
      <c r="I107" s="488"/>
      <c r="J107" s="488"/>
      <c r="K107" s="488"/>
      <c r="L107" s="488"/>
      <c r="M107" s="488"/>
      <c r="N107" s="488"/>
      <c r="O107" s="488"/>
      <c r="P107" s="488"/>
      <c r="Q107" s="488"/>
    </row>
    <row r="108" spans="1:17" s="597" customFormat="1" ht="15.75">
      <c r="A108" s="599"/>
      <c r="B108" s="651"/>
      <c r="C108" s="600"/>
      <c r="D108" s="601"/>
      <c r="E108" s="602"/>
      <c r="F108" s="603"/>
      <c r="G108" s="603"/>
      <c r="H108" s="604"/>
      <c r="I108" s="488"/>
      <c r="J108" s="488"/>
      <c r="K108" s="488"/>
      <c r="L108" s="488"/>
      <c r="M108" s="488"/>
      <c r="N108" s="488"/>
      <c r="O108" s="488"/>
      <c r="P108" s="488"/>
      <c r="Q108" s="488"/>
    </row>
    <row r="109" spans="1:17" s="597" customFormat="1" ht="15.75">
      <c r="A109" s="599"/>
      <c r="B109" s="651"/>
      <c r="C109" s="600"/>
      <c r="D109" s="601"/>
      <c r="E109" s="602"/>
      <c r="F109" s="603"/>
      <c r="G109" s="603"/>
      <c r="H109" s="604"/>
      <c r="I109" s="488"/>
      <c r="J109" s="488"/>
      <c r="K109" s="488"/>
      <c r="L109" s="488"/>
      <c r="M109" s="488"/>
      <c r="N109" s="488"/>
      <c r="O109" s="488"/>
      <c r="P109" s="488"/>
      <c r="Q109" s="488"/>
    </row>
    <row r="110" spans="1:17" s="597" customFormat="1" ht="15.75">
      <c r="A110" s="599"/>
      <c r="B110" s="651"/>
      <c r="C110" s="600"/>
      <c r="D110" s="601"/>
      <c r="E110" s="602"/>
      <c r="F110" s="603"/>
      <c r="G110" s="603"/>
      <c r="H110" s="604"/>
      <c r="I110" s="488"/>
      <c r="J110" s="488"/>
      <c r="K110" s="488"/>
      <c r="L110" s="488"/>
      <c r="M110" s="488"/>
      <c r="N110" s="488"/>
      <c r="O110" s="488"/>
      <c r="P110" s="488"/>
      <c r="Q110" s="488"/>
    </row>
    <row r="111" spans="1:17" s="597" customFormat="1" ht="15.75">
      <c r="A111" s="599"/>
      <c r="B111" s="651"/>
      <c r="C111" s="600"/>
      <c r="D111" s="601"/>
      <c r="E111" s="602"/>
      <c r="F111" s="603"/>
      <c r="G111" s="603"/>
      <c r="H111" s="604"/>
      <c r="I111" s="488"/>
      <c r="J111" s="488"/>
      <c r="K111" s="488"/>
      <c r="L111" s="488"/>
      <c r="M111" s="488"/>
      <c r="N111" s="488"/>
      <c r="O111" s="488"/>
      <c r="P111" s="488"/>
      <c r="Q111" s="488"/>
    </row>
    <row r="112" spans="1:17" s="597" customFormat="1" ht="15.75">
      <c r="A112" s="599"/>
      <c r="B112" s="651"/>
      <c r="C112" s="600"/>
      <c r="D112" s="601"/>
      <c r="E112" s="602"/>
      <c r="F112" s="603"/>
      <c r="G112" s="603"/>
      <c r="H112" s="604"/>
      <c r="I112" s="488"/>
      <c r="J112" s="488"/>
      <c r="K112" s="488"/>
      <c r="L112" s="488"/>
      <c r="M112" s="488"/>
      <c r="N112" s="488"/>
      <c r="O112" s="488"/>
      <c r="P112" s="488"/>
      <c r="Q112" s="488"/>
    </row>
    <row r="113" spans="1:17" s="597" customFormat="1" ht="15.75">
      <c r="A113" s="599"/>
      <c r="B113" s="651"/>
      <c r="C113" s="600"/>
      <c r="D113" s="601"/>
      <c r="E113" s="602"/>
      <c r="F113" s="603"/>
      <c r="G113" s="603"/>
      <c r="H113" s="604"/>
      <c r="I113" s="488"/>
      <c r="J113" s="488"/>
      <c r="K113" s="488"/>
      <c r="L113" s="488"/>
      <c r="M113" s="488"/>
      <c r="N113" s="488"/>
      <c r="O113" s="488"/>
      <c r="P113" s="488"/>
      <c r="Q113" s="488"/>
    </row>
    <row r="114" spans="1:17" s="597" customFormat="1" ht="15.75">
      <c r="A114" s="599"/>
      <c r="B114" s="651"/>
      <c r="C114" s="600"/>
      <c r="D114" s="601"/>
      <c r="E114" s="602"/>
      <c r="F114" s="603"/>
      <c r="G114" s="603"/>
      <c r="H114" s="604"/>
      <c r="I114" s="488"/>
      <c r="J114" s="488"/>
      <c r="K114" s="488"/>
      <c r="L114" s="488"/>
      <c r="M114" s="488"/>
      <c r="N114" s="488"/>
      <c r="O114" s="488"/>
      <c r="P114" s="488"/>
      <c r="Q114" s="488"/>
    </row>
    <row r="115" spans="1:17" s="597" customFormat="1" ht="15.75">
      <c r="A115" s="599"/>
      <c r="B115" s="651"/>
      <c r="C115" s="600"/>
      <c r="D115" s="601"/>
      <c r="E115" s="602"/>
      <c r="F115" s="603"/>
      <c r="G115" s="603"/>
      <c r="H115" s="604"/>
      <c r="I115" s="488"/>
      <c r="J115" s="488"/>
      <c r="K115" s="488"/>
      <c r="L115" s="488"/>
      <c r="M115" s="488"/>
      <c r="N115" s="488"/>
      <c r="O115" s="488"/>
      <c r="P115" s="488"/>
      <c r="Q115" s="488"/>
    </row>
    <row r="116" spans="1:17" s="597" customFormat="1" ht="15.75">
      <c r="A116" s="599"/>
      <c r="B116" s="651"/>
      <c r="C116" s="600"/>
      <c r="D116" s="601"/>
      <c r="E116" s="602"/>
      <c r="F116" s="603"/>
      <c r="G116" s="603"/>
      <c r="H116" s="604"/>
      <c r="I116" s="488"/>
      <c r="J116" s="488"/>
      <c r="K116" s="488"/>
      <c r="L116" s="488"/>
      <c r="M116" s="488"/>
      <c r="N116" s="488"/>
      <c r="O116" s="488"/>
      <c r="P116" s="488"/>
      <c r="Q116" s="488"/>
    </row>
    <row r="117" spans="1:17" s="597" customFormat="1" ht="15.75">
      <c r="A117" s="599"/>
      <c r="B117" s="651"/>
      <c r="C117" s="600"/>
      <c r="D117" s="601"/>
      <c r="E117" s="602"/>
      <c r="F117" s="603"/>
      <c r="G117" s="603"/>
      <c r="H117" s="604"/>
      <c r="I117" s="488"/>
      <c r="J117" s="488"/>
      <c r="K117" s="488"/>
      <c r="L117" s="488"/>
      <c r="M117" s="488"/>
      <c r="N117" s="488"/>
      <c r="O117" s="488"/>
      <c r="P117" s="488"/>
      <c r="Q117" s="488"/>
    </row>
    <row r="118" spans="1:17" s="597" customFormat="1" ht="15.75">
      <c r="A118" s="599"/>
      <c r="B118" s="651"/>
      <c r="C118" s="600"/>
      <c r="D118" s="601"/>
      <c r="E118" s="602"/>
      <c r="F118" s="603"/>
      <c r="G118" s="603"/>
      <c r="H118" s="604"/>
      <c r="I118" s="488"/>
      <c r="J118" s="488"/>
      <c r="K118" s="488"/>
      <c r="L118" s="488"/>
      <c r="M118" s="488"/>
      <c r="N118" s="488"/>
      <c r="O118" s="488"/>
      <c r="P118" s="488"/>
      <c r="Q118" s="488"/>
    </row>
    <row r="119" spans="1:17" s="597" customFormat="1" ht="15.75">
      <c r="A119" s="599"/>
      <c r="B119" s="651"/>
      <c r="C119" s="600"/>
      <c r="D119" s="601"/>
      <c r="E119" s="602"/>
      <c r="F119" s="603"/>
      <c r="G119" s="603"/>
      <c r="H119" s="604"/>
      <c r="I119" s="488"/>
      <c r="J119" s="488"/>
      <c r="K119" s="488"/>
      <c r="L119" s="488"/>
      <c r="M119" s="488"/>
      <c r="N119" s="488"/>
      <c r="O119" s="488"/>
      <c r="P119" s="488"/>
      <c r="Q119" s="488"/>
    </row>
    <row r="120" spans="1:17" s="597" customFormat="1" ht="15.75">
      <c r="A120" s="599"/>
      <c r="B120" s="651"/>
      <c r="C120" s="600"/>
      <c r="D120" s="601"/>
      <c r="E120" s="602"/>
      <c r="F120" s="603"/>
      <c r="G120" s="603"/>
      <c r="H120" s="604"/>
      <c r="I120" s="488"/>
      <c r="J120" s="488"/>
      <c r="K120" s="488"/>
      <c r="L120" s="488"/>
      <c r="M120" s="488"/>
      <c r="N120" s="488"/>
      <c r="O120" s="488"/>
      <c r="P120" s="488"/>
      <c r="Q120" s="488"/>
    </row>
    <row r="121" spans="1:17" s="597" customFormat="1" ht="15.75">
      <c r="A121" s="599"/>
      <c r="B121" s="651"/>
      <c r="C121" s="600"/>
      <c r="D121" s="601"/>
      <c r="E121" s="602"/>
      <c r="F121" s="603"/>
      <c r="G121" s="603"/>
      <c r="H121" s="604"/>
      <c r="I121" s="488"/>
      <c r="J121" s="488"/>
      <c r="K121" s="488"/>
      <c r="L121" s="488"/>
      <c r="M121" s="488"/>
      <c r="N121" s="488"/>
      <c r="O121" s="488"/>
      <c r="P121" s="488"/>
      <c r="Q121" s="488"/>
    </row>
    <row r="122" spans="1:17" s="597" customFormat="1" ht="15.75">
      <c r="A122" s="599"/>
      <c r="B122" s="651"/>
      <c r="C122" s="600"/>
      <c r="D122" s="601"/>
      <c r="E122" s="602"/>
      <c r="F122" s="603"/>
      <c r="G122" s="603"/>
      <c r="H122" s="604"/>
      <c r="I122" s="488"/>
      <c r="J122" s="488"/>
      <c r="K122" s="488"/>
      <c r="L122" s="488"/>
      <c r="M122" s="488"/>
      <c r="N122" s="488"/>
      <c r="O122" s="488"/>
      <c r="P122" s="488"/>
      <c r="Q122" s="488"/>
    </row>
    <row r="123" spans="1:17" s="597" customFormat="1" ht="15.75">
      <c r="A123" s="599"/>
      <c r="B123" s="651"/>
      <c r="C123" s="600"/>
      <c r="D123" s="601"/>
      <c r="E123" s="602"/>
      <c r="F123" s="603"/>
      <c r="G123" s="603"/>
      <c r="H123" s="604"/>
      <c r="I123" s="488"/>
      <c r="J123" s="488"/>
      <c r="K123" s="488"/>
      <c r="L123" s="488"/>
      <c r="M123" s="488"/>
      <c r="N123" s="488"/>
      <c r="O123" s="488"/>
      <c r="P123" s="488"/>
      <c r="Q123" s="488"/>
    </row>
    <row r="124" spans="1:17" s="597" customFormat="1" ht="15.75">
      <c r="A124" s="599"/>
      <c r="B124" s="651"/>
      <c r="C124" s="600"/>
      <c r="D124" s="601"/>
      <c r="E124" s="602"/>
      <c r="F124" s="603"/>
      <c r="G124" s="603"/>
      <c r="H124" s="604"/>
      <c r="I124" s="488"/>
      <c r="J124" s="488"/>
      <c r="K124" s="488"/>
      <c r="L124" s="488"/>
      <c r="M124" s="488"/>
      <c r="N124" s="488"/>
      <c r="O124" s="488"/>
      <c r="P124" s="488"/>
      <c r="Q124" s="488"/>
    </row>
    <row r="125" spans="1:17" s="597" customFormat="1" ht="15.75">
      <c r="A125" s="599"/>
      <c r="B125" s="651"/>
      <c r="C125" s="600"/>
      <c r="D125" s="601"/>
      <c r="E125" s="602"/>
      <c r="F125" s="603"/>
      <c r="G125" s="603"/>
      <c r="H125" s="604"/>
      <c r="I125" s="488"/>
      <c r="J125" s="488"/>
      <c r="K125" s="488"/>
      <c r="L125" s="488"/>
      <c r="M125" s="488"/>
      <c r="N125" s="488"/>
      <c r="O125" s="488"/>
      <c r="P125" s="488"/>
      <c r="Q125" s="488"/>
    </row>
    <row r="126" spans="1:17" s="597" customFormat="1" ht="15.75">
      <c r="A126" s="599"/>
      <c r="B126" s="651"/>
      <c r="C126" s="600"/>
      <c r="D126" s="601"/>
      <c r="E126" s="602"/>
      <c r="F126" s="603"/>
      <c r="G126" s="603"/>
      <c r="H126" s="604"/>
      <c r="I126" s="488"/>
      <c r="J126" s="488"/>
      <c r="K126" s="488"/>
      <c r="L126" s="488"/>
      <c r="M126" s="488"/>
      <c r="N126" s="488"/>
      <c r="O126" s="488"/>
      <c r="P126" s="488"/>
      <c r="Q126" s="488"/>
    </row>
    <row r="127" spans="1:17" s="597" customFormat="1" ht="15.75">
      <c r="A127" s="599"/>
      <c r="B127" s="651"/>
      <c r="C127" s="600"/>
      <c r="D127" s="601"/>
      <c r="E127" s="602"/>
      <c r="F127" s="603"/>
      <c r="G127" s="603"/>
      <c r="H127" s="604"/>
      <c r="I127" s="488"/>
      <c r="J127" s="488"/>
      <c r="K127" s="488"/>
      <c r="L127" s="488"/>
      <c r="M127" s="488"/>
      <c r="N127" s="488"/>
      <c r="O127" s="488"/>
      <c r="P127" s="488"/>
      <c r="Q127" s="488"/>
    </row>
    <row r="128" spans="1:17" s="597" customFormat="1" ht="15.75">
      <c r="A128" s="599"/>
      <c r="B128" s="651"/>
      <c r="C128" s="600"/>
      <c r="D128" s="601"/>
      <c r="E128" s="602"/>
      <c r="F128" s="603"/>
      <c r="G128" s="603"/>
      <c r="H128" s="604"/>
      <c r="I128" s="488"/>
      <c r="J128" s="488"/>
      <c r="K128" s="488"/>
      <c r="L128" s="488"/>
      <c r="M128" s="488"/>
      <c r="N128" s="488"/>
      <c r="O128" s="488"/>
      <c r="P128" s="488"/>
      <c r="Q128" s="488"/>
    </row>
    <row r="129" spans="1:17" s="597" customFormat="1" ht="15.75">
      <c r="A129" s="599"/>
      <c r="B129" s="651"/>
      <c r="C129" s="600"/>
      <c r="D129" s="601"/>
      <c r="E129" s="602"/>
      <c r="F129" s="603"/>
      <c r="G129" s="652"/>
      <c r="H129" s="604"/>
      <c r="I129" s="488"/>
      <c r="J129" s="488"/>
      <c r="K129" s="488"/>
      <c r="L129" s="488"/>
      <c r="M129" s="488"/>
      <c r="N129" s="488"/>
      <c r="O129" s="488"/>
      <c r="P129" s="488"/>
      <c r="Q129" s="488"/>
    </row>
    <row r="130" spans="1:17" s="597" customFormat="1" ht="15.75">
      <c r="A130" s="599"/>
      <c r="B130" s="651"/>
      <c r="C130" s="600"/>
      <c r="D130" s="601"/>
      <c r="E130" s="602"/>
      <c r="F130" s="603"/>
      <c r="G130" s="603"/>
      <c r="H130" s="604"/>
      <c r="I130" s="488"/>
      <c r="J130" s="488"/>
      <c r="K130" s="488"/>
      <c r="L130" s="488"/>
      <c r="M130" s="488"/>
      <c r="N130" s="488"/>
      <c r="O130" s="488"/>
      <c r="P130" s="488"/>
      <c r="Q130" s="488"/>
    </row>
    <row r="131" spans="1:17" s="597" customFormat="1" ht="15.75">
      <c r="A131" s="599"/>
      <c r="B131" s="651"/>
      <c r="C131" s="600"/>
      <c r="D131" s="601"/>
      <c r="E131" s="602"/>
      <c r="F131" s="603"/>
      <c r="G131" s="603"/>
      <c r="H131" s="604"/>
      <c r="I131" s="488"/>
      <c r="J131" s="488"/>
      <c r="K131" s="488"/>
      <c r="L131" s="488"/>
      <c r="M131" s="488"/>
      <c r="N131" s="488"/>
      <c r="O131" s="488"/>
      <c r="P131" s="488"/>
      <c r="Q131" s="488"/>
    </row>
    <row r="132" spans="1:17" s="597" customFormat="1" ht="15.75">
      <c r="A132" s="599"/>
      <c r="B132" s="651"/>
      <c r="C132" s="600"/>
      <c r="D132" s="601"/>
      <c r="E132" s="602"/>
      <c r="F132" s="603"/>
      <c r="G132" s="603"/>
      <c r="H132" s="604"/>
      <c r="I132" s="488"/>
      <c r="J132" s="488"/>
      <c r="K132" s="488"/>
      <c r="L132" s="488"/>
      <c r="M132" s="488"/>
      <c r="N132" s="488"/>
      <c r="O132" s="488"/>
      <c r="P132" s="488"/>
      <c r="Q132" s="488"/>
    </row>
    <row r="133" spans="1:17" s="597" customFormat="1" ht="15.75">
      <c r="A133" s="599"/>
      <c r="B133" s="651"/>
      <c r="C133" s="600"/>
      <c r="D133" s="601"/>
      <c r="E133" s="602"/>
      <c r="F133" s="603"/>
      <c r="G133" s="603"/>
      <c r="H133" s="604"/>
      <c r="I133" s="488"/>
      <c r="J133" s="488"/>
      <c r="K133" s="488"/>
      <c r="L133" s="488"/>
      <c r="M133" s="488"/>
      <c r="N133" s="488"/>
      <c r="O133" s="488"/>
      <c r="P133" s="488"/>
      <c r="Q133" s="488"/>
    </row>
    <row r="134" spans="1:17" s="597" customFormat="1" ht="15.75">
      <c r="A134" s="599"/>
      <c r="B134" s="651"/>
      <c r="C134" s="600"/>
      <c r="D134" s="601"/>
      <c r="E134" s="602"/>
      <c r="F134" s="603"/>
      <c r="G134" s="603"/>
      <c r="H134" s="604"/>
      <c r="I134" s="488"/>
      <c r="J134" s="488"/>
      <c r="K134" s="488"/>
      <c r="L134" s="488"/>
      <c r="M134" s="488"/>
      <c r="N134" s="488"/>
      <c r="O134" s="488"/>
      <c r="P134" s="488"/>
      <c r="Q134" s="488"/>
    </row>
    <row r="135" spans="1:17" s="597" customFormat="1" ht="15.75">
      <c r="A135" s="599"/>
      <c r="B135" s="651"/>
      <c r="C135" s="600"/>
      <c r="D135" s="601"/>
      <c r="E135" s="602"/>
      <c r="F135" s="603"/>
      <c r="G135" s="603"/>
      <c r="H135" s="604"/>
      <c r="I135" s="488"/>
      <c r="J135" s="488"/>
      <c r="K135" s="488"/>
      <c r="L135" s="488"/>
      <c r="M135" s="488"/>
      <c r="N135" s="488"/>
      <c r="O135" s="488"/>
      <c r="P135" s="488"/>
      <c r="Q135" s="488"/>
    </row>
    <row r="136" spans="1:17" s="597" customFormat="1" ht="15.75">
      <c r="A136" s="599"/>
      <c r="B136" s="651"/>
      <c r="C136" s="600"/>
      <c r="D136" s="601"/>
      <c r="E136" s="602"/>
      <c r="F136" s="603"/>
      <c r="G136" s="603"/>
      <c r="H136" s="604"/>
      <c r="I136" s="488"/>
      <c r="J136" s="488"/>
      <c r="K136" s="488"/>
      <c r="L136" s="488"/>
      <c r="M136" s="488"/>
      <c r="N136" s="488"/>
      <c r="O136" s="488"/>
      <c r="P136" s="488"/>
      <c r="Q136" s="488"/>
    </row>
    <row r="137" spans="1:17" s="597" customFormat="1" ht="15.75">
      <c r="A137" s="599"/>
      <c r="B137" s="651"/>
      <c r="C137" s="600"/>
      <c r="D137" s="601"/>
      <c r="E137" s="602"/>
      <c r="F137" s="603"/>
      <c r="G137" s="603"/>
      <c r="H137" s="604"/>
      <c r="I137" s="488"/>
      <c r="J137" s="488"/>
      <c r="K137" s="488"/>
      <c r="L137" s="488"/>
      <c r="M137" s="488"/>
      <c r="N137" s="488"/>
      <c r="O137" s="488"/>
      <c r="P137" s="488"/>
      <c r="Q137" s="488"/>
    </row>
    <row r="138" spans="1:17" s="597" customFormat="1" ht="15.75">
      <c r="A138" s="599"/>
      <c r="B138" s="651"/>
      <c r="C138" s="600"/>
      <c r="D138" s="601"/>
      <c r="E138" s="602"/>
      <c r="F138" s="603"/>
      <c r="G138" s="603"/>
      <c r="H138" s="604"/>
      <c r="I138" s="488"/>
      <c r="J138" s="488"/>
      <c r="K138" s="488"/>
      <c r="L138" s="488"/>
      <c r="M138" s="488"/>
      <c r="N138" s="488"/>
      <c r="O138" s="488"/>
      <c r="P138" s="488"/>
      <c r="Q138" s="488"/>
    </row>
    <row r="139" spans="1:17" s="597" customFormat="1" ht="15.75">
      <c r="A139" s="599"/>
      <c r="B139" s="651"/>
      <c r="C139" s="600"/>
      <c r="D139" s="601"/>
      <c r="E139" s="602"/>
      <c r="F139" s="603"/>
      <c r="G139" s="603"/>
      <c r="H139" s="604"/>
      <c r="I139" s="488"/>
      <c r="J139" s="488"/>
      <c r="K139" s="488"/>
      <c r="L139" s="488"/>
      <c r="M139" s="488"/>
      <c r="N139" s="488"/>
      <c r="O139" s="488"/>
      <c r="P139" s="488"/>
      <c r="Q139" s="488"/>
    </row>
    <row r="140" spans="1:17" s="597" customFormat="1" ht="15.75">
      <c r="A140" s="599"/>
      <c r="B140" s="651"/>
      <c r="C140" s="600"/>
      <c r="D140" s="601"/>
      <c r="E140" s="602"/>
      <c r="F140" s="603"/>
      <c r="G140" s="603"/>
      <c r="H140" s="604"/>
      <c r="I140" s="488"/>
      <c r="J140" s="488"/>
      <c r="K140" s="488"/>
      <c r="L140" s="488"/>
      <c r="M140" s="488"/>
      <c r="N140" s="488"/>
      <c r="O140" s="488"/>
      <c r="P140" s="488"/>
      <c r="Q140" s="488"/>
    </row>
    <row r="141" spans="1:17" s="597" customFormat="1" ht="15.75">
      <c r="A141" s="599"/>
      <c r="B141" s="651"/>
      <c r="C141" s="600"/>
      <c r="D141" s="601"/>
      <c r="E141" s="602"/>
      <c r="F141" s="603"/>
      <c r="G141" s="603"/>
      <c r="H141" s="604"/>
      <c r="I141" s="488"/>
      <c r="J141" s="488"/>
      <c r="K141" s="488"/>
      <c r="L141" s="488"/>
      <c r="M141" s="488"/>
      <c r="N141" s="488"/>
      <c r="O141" s="488"/>
      <c r="P141" s="488"/>
      <c r="Q141" s="488"/>
    </row>
    <row r="142" spans="1:17" s="597" customFormat="1" ht="15.75">
      <c r="A142" s="599"/>
      <c r="B142" s="651"/>
      <c r="C142" s="600"/>
      <c r="D142" s="601"/>
      <c r="E142" s="602"/>
      <c r="F142" s="603"/>
      <c r="G142" s="603"/>
      <c r="H142" s="604"/>
      <c r="I142" s="488"/>
      <c r="J142" s="488"/>
      <c r="K142" s="488"/>
      <c r="L142" s="488"/>
      <c r="M142" s="488"/>
      <c r="N142" s="488"/>
      <c r="O142" s="488"/>
      <c r="P142" s="488"/>
      <c r="Q142" s="488"/>
    </row>
    <row r="143" spans="1:17" s="597" customFormat="1" ht="15.75">
      <c r="A143" s="599"/>
      <c r="B143" s="651"/>
      <c r="C143" s="600"/>
      <c r="D143" s="601"/>
      <c r="E143" s="602"/>
      <c r="F143" s="603"/>
      <c r="G143" s="603"/>
      <c r="H143" s="604"/>
      <c r="I143" s="488"/>
      <c r="J143" s="488"/>
      <c r="K143" s="488"/>
      <c r="L143" s="488"/>
      <c r="M143" s="488"/>
      <c r="N143" s="488"/>
      <c r="O143" s="488"/>
      <c r="P143" s="488"/>
      <c r="Q143" s="488"/>
    </row>
    <row r="144" spans="1:17" s="597" customFormat="1" ht="15.75">
      <c r="A144" s="599"/>
      <c r="B144" s="651"/>
      <c r="C144" s="600"/>
      <c r="D144" s="601"/>
      <c r="E144" s="602"/>
      <c r="F144" s="603"/>
      <c r="G144" s="603"/>
      <c r="H144" s="604"/>
      <c r="I144" s="488"/>
      <c r="J144" s="488"/>
      <c r="K144" s="488"/>
      <c r="L144" s="488"/>
      <c r="M144" s="488"/>
      <c r="N144" s="488"/>
      <c r="O144" s="488"/>
      <c r="P144" s="488"/>
      <c r="Q144" s="488"/>
    </row>
    <row r="145" spans="1:17" s="597" customFormat="1" ht="15.75">
      <c r="A145" s="599"/>
      <c r="B145" s="651"/>
      <c r="C145" s="600"/>
      <c r="D145" s="601"/>
      <c r="E145" s="602"/>
      <c r="F145" s="603"/>
      <c r="G145" s="603"/>
      <c r="H145" s="604"/>
      <c r="I145" s="488"/>
      <c r="J145" s="488"/>
      <c r="K145" s="488"/>
      <c r="L145" s="488"/>
      <c r="M145" s="488"/>
      <c r="N145" s="488"/>
      <c r="O145" s="488"/>
      <c r="P145" s="488"/>
      <c r="Q145" s="488"/>
    </row>
    <row r="146" spans="1:17" s="597" customFormat="1" ht="15.75">
      <c r="A146" s="599"/>
      <c r="B146" s="651"/>
      <c r="C146" s="600"/>
      <c r="D146" s="601"/>
      <c r="E146" s="602"/>
      <c r="F146" s="603"/>
      <c r="G146" s="603"/>
      <c r="H146" s="604"/>
      <c r="I146" s="488"/>
      <c r="J146" s="488"/>
      <c r="K146" s="488"/>
      <c r="L146" s="488"/>
      <c r="M146" s="488"/>
      <c r="N146" s="488"/>
      <c r="O146" s="488"/>
      <c r="P146" s="488"/>
      <c r="Q146" s="488"/>
    </row>
    <row r="147" spans="1:17" s="597" customFormat="1" ht="15.75">
      <c r="A147" s="599"/>
      <c r="B147" s="651"/>
      <c r="C147" s="600"/>
      <c r="D147" s="601"/>
      <c r="E147" s="602"/>
      <c r="F147" s="603"/>
      <c r="G147" s="603"/>
      <c r="H147" s="604"/>
      <c r="I147" s="488"/>
      <c r="J147" s="488"/>
      <c r="K147" s="488"/>
      <c r="L147" s="488"/>
      <c r="M147" s="488"/>
      <c r="N147" s="488"/>
      <c r="O147" s="488"/>
      <c r="P147" s="488"/>
      <c r="Q147" s="488"/>
    </row>
    <row r="148" spans="1:17" s="597" customFormat="1" ht="15.75">
      <c r="A148" s="599"/>
      <c r="B148" s="651"/>
      <c r="C148" s="600"/>
      <c r="D148" s="601"/>
      <c r="E148" s="602"/>
      <c r="F148" s="603"/>
      <c r="G148" s="603"/>
      <c r="H148" s="604"/>
      <c r="I148" s="488"/>
      <c r="J148" s="488"/>
      <c r="K148" s="488"/>
      <c r="L148" s="488"/>
      <c r="M148" s="488"/>
      <c r="N148" s="488"/>
      <c r="O148" s="488"/>
      <c r="P148" s="488"/>
      <c r="Q148" s="488"/>
    </row>
    <row r="149" spans="1:17" s="597" customFormat="1" ht="15.75">
      <c r="A149" s="599"/>
      <c r="B149" s="651"/>
      <c r="C149" s="600"/>
      <c r="D149" s="601"/>
      <c r="E149" s="602"/>
      <c r="F149" s="603"/>
      <c r="G149" s="603"/>
      <c r="H149" s="604"/>
      <c r="I149" s="488"/>
      <c r="J149" s="488"/>
      <c r="K149" s="488"/>
      <c r="L149" s="488"/>
      <c r="M149" s="488"/>
      <c r="N149" s="488"/>
      <c r="O149" s="488"/>
      <c r="P149" s="488"/>
      <c r="Q149" s="488"/>
    </row>
    <row r="150" spans="1:17" s="597" customFormat="1" ht="15.75">
      <c r="A150" s="599"/>
      <c r="B150" s="651"/>
      <c r="C150" s="600"/>
      <c r="D150" s="601"/>
      <c r="E150" s="602"/>
      <c r="F150" s="603"/>
      <c r="G150" s="603"/>
      <c r="H150" s="604"/>
      <c r="I150" s="488"/>
      <c r="J150" s="488"/>
      <c r="K150" s="488"/>
      <c r="L150" s="488"/>
      <c r="M150" s="488"/>
      <c r="N150" s="488"/>
      <c r="O150" s="488"/>
      <c r="P150" s="488"/>
      <c r="Q150" s="488"/>
    </row>
    <row r="151" spans="1:17" s="597" customFormat="1" ht="15.75">
      <c r="A151" s="599"/>
      <c r="B151" s="651"/>
      <c r="C151" s="600"/>
      <c r="D151" s="601"/>
      <c r="E151" s="602"/>
      <c r="F151" s="603"/>
      <c r="G151" s="603"/>
      <c r="H151" s="604"/>
      <c r="I151" s="488"/>
      <c r="J151" s="488"/>
      <c r="K151" s="488"/>
      <c r="L151" s="488"/>
      <c r="M151" s="488"/>
      <c r="N151" s="488"/>
      <c r="O151" s="488"/>
      <c r="P151" s="488"/>
      <c r="Q151" s="488"/>
    </row>
    <row r="152" spans="1:17" s="597" customFormat="1" ht="15.75">
      <c r="A152" s="599"/>
      <c r="B152" s="651"/>
      <c r="C152" s="600"/>
      <c r="D152" s="601"/>
      <c r="E152" s="602"/>
      <c r="F152" s="603"/>
      <c r="G152" s="603"/>
      <c r="H152" s="604"/>
      <c r="I152" s="488"/>
      <c r="J152" s="488"/>
      <c r="K152" s="488"/>
      <c r="L152" s="488"/>
      <c r="M152" s="488"/>
      <c r="N152" s="488"/>
      <c r="O152" s="488"/>
      <c r="P152" s="488"/>
      <c r="Q152" s="488"/>
    </row>
    <row r="153" spans="1:17" s="597" customFormat="1" ht="15.75">
      <c r="A153" s="599"/>
      <c r="B153" s="651"/>
      <c r="C153" s="600"/>
      <c r="D153" s="601"/>
      <c r="E153" s="602"/>
      <c r="F153" s="603"/>
      <c r="G153" s="603"/>
      <c r="H153" s="604"/>
      <c r="I153" s="488"/>
      <c r="J153" s="488"/>
      <c r="K153" s="488"/>
      <c r="L153" s="488"/>
      <c r="M153" s="488"/>
      <c r="N153" s="488"/>
      <c r="O153" s="488"/>
      <c r="P153" s="488"/>
      <c r="Q153" s="488"/>
    </row>
    <row r="154" spans="1:17" s="597" customFormat="1" ht="15.75">
      <c r="A154" s="599"/>
      <c r="B154" s="651"/>
      <c r="C154" s="600"/>
      <c r="D154" s="601"/>
      <c r="E154" s="602"/>
      <c r="F154" s="603"/>
      <c r="G154" s="603"/>
      <c r="H154" s="604"/>
      <c r="I154" s="488"/>
      <c r="J154" s="488"/>
      <c r="K154" s="488"/>
      <c r="L154" s="488"/>
      <c r="M154" s="488"/>
      <c r="N154" s="488"/>
      <c r="O154" s="488"/>
      <c r="P154" s="488"/>
      <c r="Q154" s="488"/>
    </row>
    <row r="155" spans="1:17" s="597" customFormat="1" ht="15.75">
      <c r="A155" s="599"/>
      <c r="B155" s="651"/>
      <c r="C155" s="600"/>
      <c r="D155" s="601"/>
      <c r="E155" s="602"/>
      <c r="F155" s="603"/>
      <c r="G155" s="603"/>
      <c r="H155" s="604"/>
      <c r="I155" s="488"/>
      <c r="J155" s="488"/>
      <c r="K155" s="488"/>
      <c r="L155" s="488"/>
      <c r="M155" s="488"/>
      <c r="N155" s="488"/>
      <c r="O155" s="488"/>
      <c r="P155" s="488"/>
      <c r="Q155" s="488"/>
    </row>
    <row r="156" spans="1:17" s="597" customFormat="1" ht="15.75">
      <c r="A156" s="599"/>
      <c r="B156" s="651"/>
      <c r="C156" s="600"/>
      <c r="D156" s="601"/>
      <c r="E156" s="602"/>
      <c r="F156" s="603"/>
      <c r="G156" s="603"/>
      <c r="H156" s="604"/>
      <c r="I156" s="488"/>
      <c r="J156" s="488"/>
      <c r="K156" s="488"/>
      <c r="L156" s="488"/>
      <c r="M156" s="488"/>
      <c r="N156" s="488"/>
      <c r="O156" s="488"/>
      <c r="P156" s="488"/>
      <c r="Q156" s="488"/>
    </row>
    <row r="157" spans="1:17" s="597" customFormat="1" ht="15.75">
      <c r="A157" s="599"/>
      <c r="B157" s="651"/>
      <c r="C157" s="600"/>
      <c r="D157" s="601"/>
      <c r="E157" s="602"/>
      <c r="F157" s="603"/>
      <c r="G157" s="603"/>
      <c r="H157" s="604"/>
      <c r="I157" s="488"/>
      <c r="J157" s="488"/>
      <c r="K157" s="488"/>
      <c r="L157" s="488"/>
      <c r="M157" s="488"/>
      <c r="N157" s="488"/>
      <c r="O157" s="488"/>
      <c r="P157" s="488"/>
      <c r="Q157" s="488"/>
    </row>
    <row r="158" spans="1:17" s="597" customFormat="1" ht="15.75">
      <c r="A158" s="599"/>
      <c r="B158" s="651"/>
      <c r="C158" s="600"/>
      <c r="D158" s="601"/>
      <c r="E158" s="602"/>
      <c r="F158" s="603"/>
      <c r="G158" s="603"/>
      <c r="H158" s="604"/>
      <c r="I158" s="488"/>
      <c r="J158" s="488"/>
      <c r="K158" s="488"/>
      <c r="L158" s="488"/>
      <c r="M158" s="488"/>
      <c r="N158" s="488"/>
      <c r="O158" s="488"/>
      <c r="P158" s="488"/>
      <c r="Q158" s="488"/>
    </row>
    <row r="159" spans="1:17" s="597" customFormat="1" ht="15.75">
      <c r="A159" s="599"/>
      <c r="B159" s="651"/>
      <c r="C159" s="600"/>
      <c r="D159" s="601"/>
      <c r="E159" s="602"/>
      <c r="F159" s="603"/>
      <c r="G159" s="603"/>
      <c r="H159" s="604"/>
      <c r="I159" s="488"/>
      <c r="J159" s="488"/>
      <c r="K159" s="488"/>
      <c r="L159" s="488"/>
      <c r="M159" s="488"/>
      <c r="N159" s="488"/>
      <c r="O159" s="488"/>
      <c r="P159" s="488"/>
      <c r="Q159" s="488"/>
    </row>
    <row r="160" spans="1:17" s="597" customFormat="1" ht="15.75">
      <c r="A160" s="599"/>
      <c r="B160" s="651"/>
      <c r="C160" s="600"/>
      <c r="D160" s="601"/>
      <c r="E160" s="602"/>
      <c r="F160" s="603"/>
      <c r="G160" s="603"/>
      <c r="H160" s="604"/>
      <c r="I160" s="488"/>
      <c r="J160" s="488"/>
      <c r="K160" s="488"/>
      <c r="L160" s="488"/>
      <c r="M160" s="488"/>
      <c r="N160" s="488"/>
      <c r="O160" s="488"/>
      <c r="P160" s="488"/>
      <c r="Q160" s="488"/>
    </row>
    <row r="161" spans="1:17" s="597" customFormat="1" ht="15.75">
      <c r="A161" s="599"/>
      <c r="B161" s="651"/>
      <c r="C161" s="600"/>
      <c r="D161" s="601"/>
      <c r="E161" s="602"/>
      <c r="F161" s="603"/>
      <c r="G161" s="603"/>
      <c r="H161" s="604"/>
      <c r="I161" s="488"/>
      <c r="J161" s="488"/>
      <c r="K161" s="488"/>
      <c r="L161" s="488"/>
      <c r="M161" s="488"/>
      <c r="N161" s="488"/>
      <c r="O161" s="488"/>
      <c r="P161" s="488"/>
      <c r="Q161" s="488"/>
    </row>
    <row r="162" spans="1:17" s="597" customFormat="1" ht="15.75">
      <c r="A162" s="599"/>
      <c r="B162" s="651"/>
      <c r="C162" s="600"/>
      <c r="D162" s="601"/>
      <c r="E162" s="602"/>
      <c r="F162" s="603"/>
      <c r="G162" s="603"/>
      <c r="H162" s="604"/>
      <c r="I162" s="488"/>
      <c r="J162" s="488"/>
      <c r="K162" s="488"/>
      <c r="L162" s="488"/>
      <c r="M162" s="488"/>
      <c r="N162" s="488"/>
      <c r="O162" s="488"/>
      <c r="P162" s="488"/>
      <c r="Q162" s="488"/>
    </row>
    <row r="163" spans="1:17" s="597" customFormat="1" ht="15.75">
      <c r="A163" s="599"/>
      <c r="B163" s="651"/>
      <c r="C163" s="600"/>
      <c r="D163" s="601"/>
      <c r="E163" s="602"/>
      <c r="F163" s="603"/>
      <c r="G163" s="603"/>
      <c r="H163" s="604"/>
      <c r="I163" s="488"/>
      <c r="J163" s="488"/>
      <c r="K163" s="488"/>
      <c r="L163" s="488"/>
      <c r="M163" s="488"/>
      <c r="N163" s="488"/>
      <c r="O163" s="488"/>
      <c r="P163" s="488"/>
      <c r="Q163" s="488"/>
    </row>
    <row r="164" spans="1:17" s="597" customFormat="1" ht="15.75">
      <c r="A164" s="599"/>
      <c r="B164" s="651"/>
      <c r="C164" s="600"/>
      <c r="D164" s="601"/>
      <c r="E164" s="602"/>
      <c r="F164" s="603"/>
      <c r="G164" s="603"/>
      <c r="H164" s="604"/>
      <c r="I164" s="488"/>
      <c r="J164" s="488"/>
      <c r="K164" s="488"/>
      <c r="L164" s="488"/>
      <c r="M164" s="488"/>
      <c r="N164" s="488"/>
      <c r="O164" s="488"/>
      <c r="P164" s="488"/>
      <c r="Q164" s="488"/>
    </row>
    <row r="165" spans="1:17" s="597" customFormat="1" ht="15.75">
      <c r="A165" s="599"/>
      <c r="B165" s="651"/>
      <c r="C165" s="600"/>
      <c r="D165" s="601"/>
      <c r="E165" s="602"/>
      <c r="F165" s="603"/>
      <c r="G165" s="603"/>
      <c r="H165" s="604"/>
      <c r="I165" s="488"/>
      <c r="J165" s="488"/>
      <c r="K165" s="488"/>
      <c r="L165" s="488"/>
      <c r="M165" s="488"/>
      <c r="N165" s="488"/>
      <c r="O165" s="488"/>
      <c r="P165" s="488"/>
      <c r="Q165" s="488"/>
    </row>
    <row r="166" spans="1:17" s="597" customFormat="1" ht="15.75">
      <c r="A166" s="599"/>
      <c r="B166" s="651"/>
      <c r="C166" s="600"/>
      <c r="D166" s="601"/>
      <c r="E166" s="602"/>
      <c r="F166" s="603"/>
      <c r="G166" s="603"/>
      <c r="H166" s="604"/>
      <c r="I166" s="488"/>
      <c r="J166" s="488"/>
      <c r="K166" s="488"/>
      <c r="L166" s="488"/>
      <c r="M166" s="488"/>
      <c r="N166" s="488"/>
      <c r="O166" s="488"/>
      <c r="P166" s="488"/>
      <c r="Q166" s="488"/>
    </row>
    <row r="167" spans="1:17" s="597" customFormat="1" ht="15.75">
      <c r="A167" s="599"/>
      <c r="B167" s="651"/>
      <c r="C167" s="600"/>
      <c r="D167" s="601"/>
      <c r="E167" s="602"/>
      <c r="F167" s="603"/>
      <c r="G167" s="603"/>
      <c r="H167" s="604"/>
      <c r="I167" s="488"/>
      <c r="J167" s="488"/>
      <c r="K167" s="488"/>
      <c r="L167" s="488"/>
      <c r="M167" s="488"/>
      <c r="N167" s="488"/>
      <c r="O167" s="488"/>
      <c r="P167" s="488"/>
      <c r="Q167" s="488"/>
    </row>
    <row r="168" spans="1:17" s="597" customFormat="1" ht="15.75">
      <c r="A168" s="599"/>
      <c r="B168" s="651"/>
      <c r="C168" s="600"/>
      <c r="D168" s="601"/>
      <c r="E168" s="602"/>
      <c r="F168" s="603"/>
      <c r="G168" s="603"/>
      <c r="H168" s="604"/>
      <c r="I168" s="488"/>
      <c r="J168" s="488"/>
      <c r="K168" s="488"/>
      <c r="L168" s="488"/>
      <c r="M168" s="488"/>
      <c r="N168" s="488"/>
      <c r="O168" s="488"/>
      <c r="P168" s="488"/>
      <c r="Q168" s="488"/>
    </row>
    <row r="169" spans="1:2" ht="15.75">
      <c r="A169" s="599"/>
      <c r="B169" s="651"/>
    </row>
  </sheetData>
  <sheetProtection/>
  <mergeCells count="34">
    <mergeCell ref="A1:G1"/>
    <mergeCell ref="A2:G2"/>
    <mergeCell ref="A3:G3"/>
    <mergeCell ref="A4:G4"/>
    <mergeCell ref="A5:G5"/>
    <mergeCell ref="A6:G6"/>
    <mergeCell ref="A9:G9"/>
    <mergeCell ref="E10:F10"/>
    <mergeCell ref="A15:G15"/>
    <mergeCell ref="A20:G20"/>
    <mergeCell ref="A24:G24"/>
    <mergeCell ref="A29:G29"/>
    <mergeCell ref="A33:G33"/>
    <mergeCell ref="A37:G37"/>
    <mergeCell ref="A41:G41"/>
    <mergeCell ref="A45:G45"/>
    <mergeCell ref="A49:G49"/>
    <mergeCell ref="A53:G53"/>
    <mergeCell ref="A57:G57"/>
    <mergeCell ref="A60:G60"/>
    <mergeCell ref="A64:G64"/>
    <mergeCell ref="A69:G69"/>
    <mergeCell ref="A75:G75"/>
    <mergeCell ref="A82:G82"/>
    <mergeCell ref="A88:G88"/>
    <mergeCell ref="A94:G94"/>
    <mergeCell ref="A98:G98"/>
    <mergeCell ref="A99:E99"/>
    <mergeCell ref="F99:G99"/>
    <mergeCell ref="A100:D100"/>
    <mergeCell ref="F100:G100"/>
    <mergeCell ref="A101:G101"/>
    <mergeCell ref="A102:G102"/>
    <mergeCell ref="A7:E8"/>
  </mergeCells>
  <conditionalFormatting sqref="H17">
    <cfRule type="cellIs" priority="37" dxfId="0" operator="lessThan" stopIfTrue="1">
      <formula>0</formula>
    </cfRule>
  </conditionalFormatting>
  <conditionalFormatting sqref="H18">
    <cfRule type="cellIs" priority="34" dxfId="0" operator="lessThan" stopIfTrue="1">
      <formula>0</formula>
    </cfRule>
  </conditionalFormatting>
  <conditionalFormatting sqref="H19">
    <cfRule type="cellIs" priority="36" dxfId="0" operator="lessThan" stopIfTrue="1">
      <formula>0</formula>
    </cfRule>
  </conditionalFormatting>
  <conditionalFormatting sqref="H20">
    <cfRule type="cellIs" priority="35" dxfId="0" operator="lessThan" stopIfTrue="1">
      <formula>0</formula>
    </cfRule>
  </conditionalFormatting>
  <conditionalFormatting sqref="H21">
    <cfRule type="cellIs" priority="33" dxfId="0" operator="lessThan" stopIfTrue="1">
      <formula>0</formula>
    </cfRule>
  </conditionalFormatting>
  <conditionalFormatting sqref="H22">
    <cfRule type="cellIs" priority="20" dxfId="0" operator="lessThan" stopIfTrue="1">
      <formula>0</formula>
    </cfRule>
  </conditionalFormatting>
  <conditionalFormatting sqref="H23">
    <cfRule type="cellIs" priority="19" dxfId="0" operator="lessThan" stopIfTrue="1">
      <formula>0</formula>
    </cfRule>
  </conditionalFormatting>
  <conditionalFormatting sqref="H31">
    <cfRule type="cellIs" priority="68" dxfId="0" operator="lessThan" stopIfTrue="1">
      <formula>0</formula>
    </cfRule>
  </conditionalFormatting>
  <conditionalFormatting sqref="H34">
    <cfRule type="cellIs" priority="49" dxfId="0" operator="lessThan" stopIfTrue="1">
      <formula>0</formula>
    </cfRule>
  </conditionalFormatting>
  <conditionalFormatting sqref="H41">
    <cfRule type="cellIs" priority="64" dxfId="0" operator="lessThan" stopIfTrue="1">
      <formula>0</formula>
    </cfRule>
  </conditionalFormatting>
  <conditionalFormatting sqref="H43">
    <cfRule type="cellIs" priority="54" dxfId="0" operator="lessThan" stopIfTrue="1">
      <formula>0</formula>
    </cfRule>
  </conditionalFormatting>
  <conditionalFormatting sqref="H44">
    <cfRule type="cellIs" priority="51" dxfId="0" operator="lessThan" stopIfTrue="1">
      <formula>0</formula>
    </cfRule>
  </conditionalFormatting>
  <conditionalFormatting sqref="H47">
    <cfRule type="cellIs" priority="53" dxfId="0" operator="lessThan" stopIfTrue="1">
      <formula>0</formula>
    </cfRule>
  </conditionalFormatting>
  <conditionalFormatting sqref="H51">
    <cfRule type="cellIs" priority="57" dxfId="0" operator="lessThan" stopIfTrue="1">
      <formula>0</formula>
    </cfRule>
  </conditionalFormatting>
  <conditionalFormatting sqref="H52">
    <cfRule type="cellIs" priority="56" dxfId="0" operator="lessThan" stopIfTrue="1">
      <formula>0</formula>
    </cfRule>
  </conditionalFormatting>
  <conditionalFormatting sqref="H54">
    <cfRule type="cellIs" priority="23" dxfId="0" operator="lessThan" stopIfTrue="1">
      <formula>0</formula>
    </cfRule>
  </conditionalFormatting>
  <conditionalFormatting sqref="H55">
    <cfRule type="cellIs" priority="22" dxfId="0" operator="lessThan" stopIfTrue="1">
      <formula>0</formula>
    </cfRule>
  </conditionalFormatting>
  <conditionalFormatting sqref="H56">
    <cfRule type="cellIs" priority="21" dxfId="0" operator="lessThan" stopIfTrue="1">
      <formula>0</formula>
    </cfRule>
  </conditionalFormatting>
  <conditionalFormatting sqref="H63">
    <cfRule type="cellIs" priority="47" dxfId="0" operator="lessThan" stopIfTrue="1">
      <formula>0</formula>
    </cfRule>
  </conditionalFormatting>
  <conditionalFormatting sqref="H71">
    <cfRule type="cellIs" priority="3" dxfId="0" operator="lessThan" stopIfTrue="1">
      <formula>0</formula>
    </cfRule>
  </conditionalFormatting>
  <conditionalFormatting sqref="H73">
    <cfRule type="cellIs" priority="2" dxfId="0" operator="lessThan" stopIfTrue="1">
      <formula>0</formula>
    </cfRule>
  </conditionalFormatting>
  <conditionalFormatting sqref="H74">
    <cfRule type="cellIs" priority="1" dxfId="0" operator="lessThan" stopIfTrue="1">
      <formula>0</formula>
    </cfRule>
  </conditionalFormatting>
  <conditionalFormatting sqref="H89">
    <cfRule type="cellIs" priority="12" dxfId="0" operator="lessThan" stopIfTrue="1">
      <formula>0</formula>
    </cfRule>
  </conditionalFormatting>
  <conditionalFormatting sqref="H90">
    <cfRule type="cellIs" priority="9" dxfId="0" operator="lessThan" stopIfTrue="1">
      <formula>0</formula>
    </cfRule>
  </conditionalFormatting>
  <conditionalFormatting sqref="H91">
    <cfRule type="cellIs" priority="10" dxfId="0" operator="lessThan" stopIfTrue="1">
      <formula>0</formula>
    </cfRule>
  </conditionalFormatting>
  <conditionalFormatting sqref="H92">
    <cfRule type="cellIs" priority="4" dxfId="0" operator="lessThan" stopIfTrue="1">
      <formula>0</formula>
    </cfRule>
  </conditionalFormatting>
  <conditionalFormatting sqref="H93">
    <cfRule type="cellIs" priority="5" dxfId="0" operator="lessThan" stopIfTrue="1">
      <formula>0</formula>
    </cfRule>
  </conditionalFormatting>
  <conditionalFormatting sqref="H94">
    <cfRule type="cellIs" priority="6" dxfId="0" operator="lessThan" stopIfTrue="1">
      <formula>0</formula>
    </cfRule>
  </conditionalFormatting>
  <conditionalFormatting sqref="H95">
    <cfRule type="cellIs" priority="14" dxfId="0" operator="lessThan" stopIfTrue="1">
      <formula>0</formula>
    </cfRule>
  </conditionalFormatting>
  <conditionalFormatting sqref="H32:H33">
    <cfRule type="cellIs" priority="67" dxfId="0" operator="lessThan" stopIfTrue="1">
      <formula>0</formula>
    </cfRule>
  </conditionalFormatting>
  <conditionalFormatting sqref="H39:H40">
    <cfRule type="cellIs" priority="65" dxfId="0" operator="lessThan" stopIfTrue="1">
      <formula>0</formula>
    </cfRule>
  </conditionalFormatting>
  <conditionalFormatting sqref="H61:H62">
    <cfRule type="cellIs" priority="48" dxfId="0" operator="lessThan" stopIfTrue="1">
      <formula>0</formula>
    </cfRule>
  </conditionalFormatting>
  <conditionalFormatting sqref="H83:H86">
    <cfRule type="cellIs" priority="16" dxfId="0" operator="lessThan" stopIfTrue="1">
      <formula>0</formula>
    </cfRule>
  </conditionalFormatting>
  <conditionalFormatting sqref="H87:H88">
    <cfRule type="cellIs" priority="15" dxfId="0" operator="lessThan" stopIfTrue="1">
      <formula>0</formula>
    </cfRule>
  </conditionalFormatting>
  <conditionalFormatting sqref="H13 H96:H98">
    <cfRule type="cellIs" priority="45" dxfId="0" operator="lessThan" stopIfTrue="1">
      <formula>0</formula>
    </cfRule>
  </conditionalFormatting>
  <conditionalFormatting sqref="H14 H48">
    <cfRule type="cellIs" priority="43" dxfId="0" operator="lessThan" stopIfTrue="1">
      <formula>0</formula>
    </cfRule>
  </conditionalFormatting>
  <conditionalFormatting sqref="H15 H24">
    <cfRule type="cellIs" priority="46" dxfId="0" operator="lessThan" stopIfTrue="1">
      <formula>0</formula>
    </cfRule>
  </conditionalFormatting>
  <conditionalFormatting sqref="H26:H30 H35:H38 H49:H50 H57:H58 H53 H45:H46 H42 H72 H75:H80">
    <cfRule type="cellIs" priority="73" dxfId="0" operator="lessThan" stopIfTrue="1">
      <formula>0</formula>
    </cfRule>
  </conditionalFormatting>
  <conditionalFormatting sqref="H59:H60 H64:H69">
    <cfRule type="cellIs" priority="50" dxfId="0" operator="lessThan" stopIfTrue="1">
      <formula>0</formula>
    </cfRule>
  </conditionalFormatting>
  <printOptions/>
  <pageMargins left="1.18" right="0.79" top="1.18" bottom="0.39" header="0" footer="0"/>
  <pageSetup fitToHeight="0" fitToWidth="1" horizontalDpi="600" verticalDpi="600" orientation="portrait" paperSize="9" scale="70"/>
  <headerFooter alignWithMargins="0">
    <oddHeader>&amp;C&amp;"-"&amp;12&amp;G
DEFENSORIA PÚBLICA DO ESTADO DE RORAIMA
“Amazônia: Patrimônio dos brasileiros”
Seção de Engenharia, Projetos, Fiscalização de Obras e Manutenção Predial</oddHeader>
    <oddFooter>&amp;C&amp;8Página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="115" zoomScaleSheetLayoutView="115" workbookViewId="0" topLeftCell="A1">
      <selection activeCell="A1" sqref="A1:G1"/>
    </sheetView>
  </sheetViews>
  <sheetFormatPr defaultColWidth="9.140625" defaultRowHeight="12.75"/>
  <cols>
    <col min="1" max="1" width="15.57421875" style="243" customWidth="1"/>
    <col min="2" max="2" width="5.421875" style="243" customWidth="1"/>
    <col min="3" max="3" width="73.7109375" style="243" customWidth="1"/>
    <col min="4" max="4" width="5.00390625" style="243" customWidth="1"/>
    <col min="5" max="5" width="9.00390625" style="188" customWidth="1"/>
    <col min="6" max="6" width="9.140625" style="188" customWidth="1"/>
    <col min="7" max="7" width="10.8515625" style="188" customWidth="1"/>
  </cols>
  <sheetData>
    <row r="1" spans="1:7" ht="15.75">
      <c r="A1" s="489" t="str">
        <f>'ANEXO PB II Penha brasil'!A1</f>
        <v>ANEXO PB II - PLANILHA DE ORÇAMENTO - SINTÉTICO</v>
      </c>
      <c r="B1" s="489"/>
      <c r="C1" s="489"/>
      <c r="D1" s="489"/>
      <c r="E1" s="489"/>
      <c r="F1" s="489"/>
      <c r="G1" s="489"/>
    </row>
    <row r="2" spans="1:7" ht="15.75">
      <c r="A2" s="490"/>
      <c r="B2" s="490"/>
      <c r="C2" s="490"/>
      <c r="D2" s="490"/>
      <c r="E2" s="490"/>
      <c r="F2" s="490"/>
      <c r="G2" s="490"/>
    </row>
    <row r="3" spans="1:7" ht="33" customHeight="1">
      <c r="A3" s="455" t="str">
        <f>'ANEXO PB II Penha brasil'!A3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90"/>
      <c r="B4" s="490"/>
      <c r="C4" s="490"/>
      <c r="D4" s="490"/>
      <c r="E4" s="490"/>
      <c r="F4" s="490"/>
      <c r="G4" s="490"/>
    </row>
    <row r="5" spans="1:7" ht="15.75">
      <c r="A5" s="489" t="s">
        <v>145</v>
      </c>
      <c r="B5" s="489"/>
      <c r="C5" s="489"/>
      <c r="D5" s="489"/>
      <c r="E5" s="489"/>
      <c r="F5" s="489"/>
      <c r="G5" s="489"/>
    </row>
    <row r="6" spans="1:7" ht="15.75">
      <c r="A6" s="490"/>
      <c r="B6" s="490"/>
      <c r="C6" s="490"/>
      <c r="D6" s="490"/>
      <c r="E6" s="490"/>
      <c r="F6" s="490"/>
      <c r="G6" s="490"/>
    </row>
    <row r="7" spans="1:7" ht="15.75">
      <c r="A7" s="489" t="s">
        <v>9</v>
      </c>
      <c r="B7" s="489"/>
      <c r="C7" s="489"/>
      <c r="D7" s="489"/>
      <c r="E7" s="489"/>
      <c r="F7" s="489" t="s">
        <v>10</v>
      </c>
      <c r="G7" s="489" t="s">
        <v>146</v>
      </c>
    </row>
    <row r="8" spans="1:7" ht="12.75" customHeight="1">
      <c r="A8" s="489"/>
      <c r="B8" s="489"/>
      <c r="C8" s="489"/>
      <c r="D8" s="489"/>
      <c r="E8" s="489"/>
      <c r="F8" s="489" t="s">
        <v>12</v>
      </c>
      <c r="G8" s="492">
        <f>'ANEXO PB  VI CALCULO BDI'!F97</f>
        <v>0.2871</v>
      </c>
    </row>
    <row r="9" spans="1:7" ht="12.75" customHeight="1">
      <c r="A9" s="490"/>
      <c r="B9" s="490"/>
      <c r="C9" s="490"/>
      <c r="D9" s="490"/>
      <c r="E9" s="490"/>
      <c r="F9" s="490"/>
      <c r="G9" s="490"/>
    </row>
    <row r="10" spans="1:7" s="186" customFormat="1" ht="15.75">
      <c r="A10" s="569" t="s">
        <v>13</v>
      </c>
      <c r="B10" s="569" t="s">
        <v>14</v>
      </c>
      <c r="C10" s="569" t="s">
        <v>15</v>
      </c>
      <c r="D10" s="569" t="s">
        <v>16</v>
      </c>
      <c r="E10" s="578" t="s">
        <v>17</v>
      </c>
      <c r="F10" s="578"/>
      <c r="G10" s="578"/>
    </row>
    <row r="11" spans="1:7" s="186" customFormat="1" ht="31.5">
      <c r="A11" s="569"/>
      <c r="B11" s="569"/>
      <c r="C11" s="569"/>
      <c r="D11" s="569"/>
      <c r="E11" s="578" t="s">
        <v>18</v>
      </c>
      <c r="F11" s="579" t="s">
        <v>19</v>
      </c>
      <c r="G11" s="579" t="s">
        <v>20</v>
      </c>
    </row>
    <row r="12" spans="1:7" ht="15.75">
      <c r="A12" s="506"/>
      <c r="B12" s="496">
        <v>1</v>
      </c>
      <c r="C12" s="497" t="s">
        <v>147</v>
      </c>
      <c r="D12" s="506"/>
      <c r="E12" s="580"/>
      <c r="F12" s="508"/>
      <c r="G12" s="581">
        <f>SUM(G14:G19)</f>
        <v>6709.9924</v>
      </c>
    </row>
    <row r="13" spans="1:7" ht="15.75">
      <c r="A13" s="582"/>
      <c r="B13" s="583" t="s">
        <v>22</v>
      </c>
      <c r="C13" s="584" t="s">
        <v>148</v>
      </c>
      <c r="D13" s="582"/>
      <c r="E13" s="585"/>
      <c r="F13" s="585"/>
      <c r="G13" s="586"/>
    </row>
    <row r="14" spans="1:7" ht="15.75">
      <c r="A14" s="501" t="str">
        <f>'ANEXO PB IV Comp. auxiliares'!A102</f>
        <v>COMP. 17 - DPE</v>
      </c>
      <c r="B14" s="501" t="s">
        <v>149</v>
      </c>
      <c r="C14" s="468" t="s">
        <v>150</v>
      </c>
      <c r="D14" s="501" t="s">
        <v>24</v>
      </c>
      <c r="E14" s="587">
        <f>'ANEXO PB III Mem. de cálculo'!H266</f>
        <v>87.2</v>
      </c>
      <c r="F14" s="588">
        <f>'ANEXO PB IV Comp. auxiliares'!F102</f>
        <v>11.32</v>
      </c>
      <c r="G14" s="588">
        <f>E14*F14</f>
        <v>987.104</v>
      </c>
    </row>
    <row r="15" spans="1:7" ht="47.25">
      <c r="A15" s="501">
        <v>87530</v>
      </c>
      <c r="B15" s="501" t="s">
        <v>151</v>
      </c>
      <c r="C15" s="468" t="s">
        <v>152</v>
      </c>
      <c r="D15" s="501" t="s">
        <v>24</v>
      </c>
      <c r="E15" s="587">
        <f>E14</f>
        <v>87.2</v>
      </c>
      <c r="F15" s="588">
        <v>32.66</v>
      </c>
      <c r="G15" s="588">
        <f>E15*F15</f>
        <v>2847.9519999999998</v>
      </c>
    </row>
    <row r="16" spans="1:7" ht="31.5">
      <c r="A16" s="501">
        <v>98555</v>
      </c>
      <c r="B16" s="501" t="s">
        <v>153</v>
      </c>
      <c r="C16" s="468" t="s">
        <v>154</v>
      </c>
      <c r="D16" s="501" t="s">
        <v>24</v>
      </c>
      <c r="E16" s="587">
        <f>E14</f>
        <v>87.2</v>
      </c>
      <c r="F16" s="588">
        <v>22.12</v>
      </c>
      <c r="G16" s="588">
        <f>E16*F16</f>
        <v>1928.8640000000003</v>
      </c>
    </row>
    <row r="17" spans="1:7" ht="15.75">
      <c r="A17" s="501"/>
      <c r="B17" s="501"/>
      <c r="C17" s="501"/>
      <c r="D17" s="501"/>
      <c r="E17" s="501"/>
      <c r="F17" s="501"/>
      <c r="G17" s="501"/>
    </row>
    <row r="18" spans="1:7" ht="15.75">
      <c r="A18" s="582"/>
      <c r="B18" s="583" t="s">
        <v>25</v>
      </c>
      <c r="C18" s="584" t="s">
        <v>155</v>
      </c>
      <c r="D18" s="582"/>
      <c r="E18" s="585"/>
      <c r="F18" s="585"/>
      <c r="G18" s="586"/>
    </row>
    <row r="19" spans="1:7" ht="31.5">
      <c r="A19" s="501">
        <v>98555</v>
      </c>
      <c r="B19" s="501" t="s">
        <v>156</v>
      </c>
      <c r="C19" s="468" t="s">
        <v>154</v>
      </c>
      <c r="D19" s="501" t="s">
        <v>24</v>
      </c>
      <c r="E19" s="587">
        <f>'ANEXO PB III Mem. de cálculo'!H275</f>
        <v>42.77</v>
      </c>
      <c r="F19" s="588">
        <v>22.12</v>
      </c>
      <c r="G19" s="588">
        <f>E19*F19</f>
        <v>946.0724000000001</v>
      </c>
    </row>
    <row r="20" spans="1:7" ht="15.75">
      <c r="A20" s="501"/>
      <c r="B20" s="501"/>
      <c r="C20" s="501"/>
      <c r="D20" s="501"/>
      <c r="E20" s="501"/>
      <c r="F20" s="501"/>
      <c r="G20" s="501"/>
    </row>
    <row r="21" spans="1:7" ht="15.75">
      <c r="A21" s="506"/>
      <c r="B21" s="496">
        <v>2</v>
      </c>
      <c r="C21" s="497" t="s">
        <v>157</v>
      </c>
      <c r="D21" s="506"/>
      <c r="E21" s="580"/>
      <c r="F21" s="508"/>
      <c r="G21" s="581">
        <f>SUM(G23:G36)</f>
        <v>17353.2</v>
      </c>
    </row>
    <row r="22" spans="1:7" ht="15.75">
      <c r="A22" s="501"/>
      <c r="B22" s="502" t="s">
        <v>34</v>
      </c>
      <c r="C22" s="503" t="s">
        <v>158</v>
      </c>
      <c r="D22" s="501"/>
      <c r="E22" s="587"/>
      <c r="F22" s="587"/>
      <c r="G22" s="588"/>
    </row>
    <row r="23" spans="1:7" ht="15.75">
      <c r="A23" s="501" t="str">
        <f>'ANEXO PB IV Comp. auxiliares'!A6</f>
        <v>COMP. 01 - DPE</v>
      </c>
      <c r="B23" s="501" t="s">
        <v>36</v>
      </c>
      <c r="C23" s="468" t="s">
        <v>42</v>
      </c>
      <c r="D23" s="501" t="s">
        <v>24</v>
      </c>
      <c r="E23" s="587">
        <f>'ANEXO PB III Mem. de cálculo'!H317</f>
        <v>1037.8740000000003</v>
      </c>
      <c r="F23" s="588">
        <f>'ANEXO PB IV Comp. auxiliares'!F6</f>
        <v>1.5499999999999998</v>
      </c>
      <c r="G23" s="588">
        <f>ROUND(E23*F23,2)</f>
        <v>1608.7</v>
      </c>
    </row>
    <row r="24" spans="1:7" ht="31.5">
      <c r="A24" s="501">
        <v>88489</v>
      </c>
      <c r="B24" s="501" t="s">
        <v>37</v>
      </c>
      <c r="C24" s="468" t="s">
        <v>44</v>
      </c>
      <c r="D24" s="501" t="s">
        <v>24</v>
      </c>
      <c r="E24" s="587">
        <f>E23</f>
        <v>1037.8740000000003</v>
      </c>
      <c r="F24" s="588">
        <v>10.14</v>
      </c>
      <c r="G24" s="588">
        <f>ROUND(E24*F24,2)</f>
        <v>10524.04</v>
      </c>
    </row>
    <row r="25" spans="1:7" ht="15.75">
      <c r="A25" s="501"/>
      <c r="B25" s="501"/>
      <c r="C25" s="501"/>
      <c r="D25" s="501"/>
      <c r="E25" s="501"/>
      <c r="F25" s="501"/>
      <c r="G25" s="501"/>
    </row>
    <row r="26" spans="1:7" ht="15.75">
      <c r="A26" s="501"/>
      <c r="B26" s="502" t="s">
        <v>159</v>
      </c>
      <c r="C26" s="503" t="s">
        <v>160</v>
      </c>
      <c r="D26" s="501"/>
      <c r="E26" s="589"/>
      <c r="F26" s="588"/>
      <c r="G26" s="588"/>
    </row>
    <row r="27" spans="1:7" ht="15.75">
      <c r="A27" s="501">
        <v>100717</v>
      </c>
      <c r="B27" s="501" t="s">
        <v>161</v>
      </c>
      <c r="C27" s="468" t="s">
        <v>66</v>
      </c>
      <c r="D27" s="501" t="s">
        <v>24</v>
      </c>
      <c r="E27" s="587">
        <f>'ANEXO PB III Mem. de cálculo'!H326</f>
        <v>71.92</v>
      </c>
      <c r="F27" s="588">
        <v>6.97</v>
      </c>
      <c r="G27" s="588">
        <f>ROUND(E27*F27,2)</f>
        <v>501.28</v>
      </c>
    </row>
    <row r="28" spans="1:7" ht="47.25">
      <c r="A28" s="501">
        <v>100760</v>
      </c>
      <c r="B28" s="501" t="s">
        <v>162</v>
      </c>
      <c r="C28" s="468" t="s">
        <v>68</v>
      </c>
      <c r="D28" s="501" t="s">
        <v>24</v>
      </c>
      <c r="E28" s="587">
        <f>E27</f>
        <v>71.92</v>
      </c>
      <c r="F28" s="588">
        <v>34.25</v>
      </c>
      <c r="G28" s="588">
        <f>ROUND(E28*F28,2)</f>
        <v>2463.26</v>
      </c>
    </row>
    <row r="29" spans="1:7" ht="15.75">
      <c r="A29" s="501"/>
      <c r="B29" s="501"/>
      <c r="C29" s="501"/>
      <c r="D29" s="501"/>
      <c r="E29" s="501"/>
      <c r="F29" s="501"/>
      <c r="G29" s="501"/>
    </row>
    <row r="30" spans="1:7" ht="15.75">
      <c r="A30" s="501"/>
      <c r="B30" s="502" t="s">
        <v>163</v>
      </c>
      <c r="C30" s="503" t="s">
        <v>164</v>
      </c>
      <c r="D30" s="501"/>
      <c r="E30" s="589"/>
      <c r="F30" s="588"/>
      <c r="G30" s="588"/>
    </row>
    <row r="31" spans="1:7" ht="31.5">
      <c r="A31" s="501">
        <v>100722</v>
      </c>
      <c r="B31" s="501" t="s">
        <v>165</v>
      </c>
      <c r="C31" s="468" t="s">
        <v>166</v>
      </c>
      <c r="D31" s="501" t="s">
        <v>24</v>
      </c>
      <c r="E31" s="587">
        <f>'ANEXO PB III Mem. de cálculo'!H331</f>
        <v>0.26</v>
      </c>
      <c r="F31" s="588">
        <v>16.91</v>
      </c>
      <c r="G31" s="588">
        <f>ROUND(E31*F31,2)</f>
        <v>4.4</v>
      </c>
    </row>
    <row r="32" spans="1:7" ht="47.25">
      <c r="A32" s="501">
        <v>100760</v>
      </c>
      <c r="B32" s="501" t="s">
        <v>167</v>
      </c>
      <c r="C32" s="468" t="s">
        <v>68</v>
      </c>
      <c r="D32" s="501" t="s">
        <v>24</v>
      </c>
      <c r="E32" s="587">
        <f>E31</f>
        <v>0.26</v>
      </c>
      <c r="F32" s="588">
        <v>34.25</v>
      </c>
      <c r="G32" s="588">
        <f>ROUND(E32*F32,2)</f>
        <v>8.91</v>
      </c>
    </row>
    <row r="33" spans="1:7" ht="15.75">
      <c r="A33" s="501"/>
      <c r="B33" s="501"/>
      <c r="C33" s="501"/>
      <c r="D33" s="501"/>
      <c r="E33" s="501"/>
      <c r="F33" s="501"/>
      <c r="G33" s="501"/>
    </row>
    <row r="34" spans="1:7" ht="15.75">
      <c r="A34" s="501"/>
      <c r="B34" s="502" t="s">
        <v>168</v>
      </c>
      <c r="C34" s="503" t="s">
        <v>148</v>
      </c>
      <c r="D34" s="501"/>
      <c r="E34" s="587"/>
      <c r="F34" s="587"/>
      <c r="G34" s="588"/>
    </row>
    <row r="35" spans="1:7" ht="15.75">
      <c r="A35" s="501" t="str">
        <f>'ANEXO PB IV Comp. auxiliares'!A6</f>
        <v>COMP. 01 - DPE</v>
      </c>
      <c r="B35" s="501" t="s">
        <v>169</v>
      </c>
      <c r="C35" s="468" t="s">
        <v>42</v>
      </c>
      <c r="D35" s="501" t="s">
        <v>24</v>
      </c>
      <c r="E35" s="587">
        <f>'ANEXO PB III Mem. de cálculo'!H336</f>
        <v>191.84000000000003</v>
      </c>
      <c r="F35" s="588">
        <f>'ANEXO PB IV Comp. auxiliares'!F6</f>
        <v>1.5499999999999998</v>
      </c>
      <c r="G35" s="588">
        <f>ROUND(E35*F35,2)</f>
        <v>297.35</v>
      </c>
    </row>
    <row r="36" spans="1:7" ht="31.5">
      <c r="A36" s="501">
        <v>88489</v>
      </c>
      <c r="B36" s="501" t="s">
        <v>170</v>
      </c>
      <c r="C36" s="468" t="s">
        <v>44</v>
      </c>
      <c r="D36" s="501" t="s">
        <v>24</v>
      </c>
      <c r="E36" s="587">
        <f>E35</f>
        <v>191.84000000000003</v>
      </c>
      <c r="F36" s="588">
        <v>10.14</v>
      </c>
      <c r="G36" s="588">
        <f>ROUND(E36*F36,2)</f>
        <v>1945.26</v>
      </c>
    </row>
    <row r="37" spans="1:7" ht="15.75">
      <c r="A37" s="501"/>
      <c r="B37" s="501"/>
      <c r="C37" s="501"/>
      <c r="D37" s="501"/>
      <c r="E37" s="501"/>
      <c r="F37" s="501"/>
      <c r="G37" s="501"/>
    </row>
    <row r="38" spans="1:7" ht="15.75">
      <c r="A38" s="506"/>
      <c r="B38" s="496">
        <v>3</v>
      </c>
      <c r="C38" s="497" t="s">
        <v>171</v>
      </c>
      <c r="D38" s="506"/>
      <c r="E38" s="580"/>
      <c r="F38" s="508"/>
      <c r="G38" s="581">
        <f>G39</f>
        <v>575.9</v>
      </c>
    </row>
    <row r="39" spans="1:7" ht="15.75">
      <c r="A39" s="501" t="str">
        <f>'ANEXO PB IV Comp. auxiliares'!A78</f>
        <v>COMP. 13  DPE</v>
      </c>
      <c r="B39" s="501" t="s">
        <v>39</v>
      </c>
      <c r="C39" s="468" t="s">
        <v>172</v>
      </c>
      <c r="D39" s="501" t="s">
        <v>16</v>
      </c>
      <c r="E39" s="587">
        <v>1</v>
      </c>
      <c r="F39" s="588">
        <f>'ANEXO PB IV Comp. auxiliares'!F78</f>
        <v>575.9</v>
      </c>
      <c r="G39" s="588">
        <f>ROUND(E39*F39,2)</f>
        <v>575.9</v>
      </c>
    </row>
    <row r="40" spans="1:7" ht="15.75">
      <c r="A40" s="501"/>
      <c r="B40" s="501"/>
      <c r="C40" s="501"/>
      <c r="D40" s="501"/>
      <c r="E40" s="501"/>
      <c r="F40" s="501"/>
      <c r="G40" s="501"/>
    </row>
    <row r="41" spans="1:7" ht="15.75">
      <c r="A41" s="506"/>
      <c r="B41" s="496">
        <v>4</v>
      </c>
      <c r="C41" s="497" t="s">
        <v>173</v>
      </c>
      <c r="D41" s="506"/>
      <c r="E41" s="580"/>
      <c r="F41" s="508"/>
      <c r="G41" s="581">
        <f>G42</f>
        <v>45.9</v>
      </c>
    </row>
    <row r="42" spans="1:7" ht="15.75">
      <c r="A42" s="501" t="s">
        <v>174</v>
      </c>
      <c r="B42" s="501" t="s">
        <v>98</v>
      </c>
      <c r="C42" s="468" t="s">
        <v>175</v>
      </c>
      <c r="D42" s="501" t="s">
        <v>176</v>
      </c>
      <c r="E42" s="587">
        <f>'ANEXO PB III Mem. de cálculo'!H340</f>
        <v>5.4</v>
      </c>
      <c r="F42" s="588">
        <f>'ANEXO PB  V Cotações'!E54</f>
        <v>8.5</v>
      </c>
      <c r="G42" s="588">
        <f>ROUND(E42*F42,2)</f>
        <v>45.9</v>
      </c>
    </row>
    <row r="43" spans="1:7" ht="15.75">
      <c r="A43" s="501"/>
      <c r="B43" s="501"/>
      <c r="C43" s="501"/>
      <c r="D43" s="501"/>
      <c r="E43" s="501"/>
      <c r="F43" s="501"/>
      <c r="G43" s="501"/>
    </row>
    <row r="44" spans="1:7" ht="15.75">
      <c r="A44" s="506"/>
      <c r="B44" s="496">
        <v>5</v>
      </c>
      <c r="C44" s="497" t="s">
        <v>118</v>
      </c>
      <c r="D44" s="506"/>
      <c r="E44" s="580"/>
      <c r="F44" s="508"/>
      <c r="G44" s="581">
        <f>G45</f>
        <v>288.5</v>
      </c>
    </row>
    <row r="45" spans="1:7" ht="31.5">
      <c r="A45" s="501">
        <v>97599</v>
      </c>
      <c r="B45" s="501" t="s">
        <v>107</v>
      </c>
      <c r="C45" s="468" t="s">
        <v>177</v>
      </c>
      <c r="D45" s="501" t="s">
        <v>16</v>
      </c>
      <c r="E45" s="589">
        <v>10</v>
      </c>
      <c r="F45" s="588">
        <v>28.85</v>
      </c>
      <c r="G45" s="588">
        <f>E45*F45</f>
        <v>288.5</v>
      </c>
    </row>
    <row r="46" spans="1:7" ht="15.75">
      <c r="A46" s="501"/>
      <c r="B46" s="501"/>
      <c r="C46" s="501"/>
      <c r="D46" s="501"/>
      <c r="E46" s="501"/>
      <c r="F46" s="501"/>
      <c r="G46" s="501"/>
    </row>
    <row r="47" spans="1:7" ht="15.75">
      <c r="A47" s="506"/>
      <c r="B47" s="496">
        <v>6</v>
      </c>
      <c r="C47" s="497" t="s">
        <v>178</v>
      </c>
      <c r="D47" s="506"/>
      <c r="E47" s="580"/>
      <c r="F47" s="508"/>
      <c r="G47" s="581">
        <f>SUM(G48)</f>
        <v>64.42</v>
      </c>
    </row>
    <row r="48" spans="1:7" ht="15.75">
      <c r="A48" s="501" t="str">
        <f>'ANEXO PB IV Comp. auxiliares'!A85</f>
        <v>COMP. 14  DPE</v>
      </c>
      <c r="B48" s="501" t="s">
        <v>119</v>
      </c>
      <c r="C48" s="468" t="s">
        <v>179</v>
      </c>
      <c r="D48" s="501" t="s">
        <v>16</v>
      </c>
      <c r="E48" s="589">
        <v>1</v>
      </c>
      <c r="F48" s="588">
        <f>'ANEXO PB IV Comp. auxiliares'!F85</f>
        <v>64.42</v>
      </c>
      <c r="G48" s="588">
        <f>E48*F48</f>
        <v>64.42</v>
      </c>
    </row>
    <row r="49" spans="1:7" ht="15.75">
      <c r="A49" s="501"/>
      <c r="B49" s="501"/>
      <c r="C49" s="468"/>
      <c r="D49" s="501"/>
      <c r="E49" s="589"/>
      <c r="F49" s="588"/>
      <c r="G49" s="588"/>
    </row>
    <row r="50" spans="1:7" ht="15.75">
      <c r="A50" s="506"/>
      <c r="B50" s="496">
        <v>7</v>
      </c>
      <c r="C50" s="497" t="s">
        <v>180</v>
      </c>
      <c r="D50" s="506"/>
      <c r="E50" s="580"/>
      <c r="F50" s="508"/>
      <c r="G50" s="581">
        <f>SUM(G51:G52)</f>
        <v>677.75</v>
      </c>
    </row>
    <row r="51" spans="1:7" ht="15.75">
      <c r="A51" s="501" t="str">
        <f>'ANEXO PB IV Comp. auxiliares'!A90</f>
        <v>COMP. 15 - DPE</v>
      </c>
      <c r="B51" s="501" t="s">
        <v>128</v>
      </c>
      <c r="C51" s="468" t="s">
        <v>181</v>
      </c>
      <c r="D51" s="501" t="s">
        <v>109</v>
      </c>
      <c r="E51" s="589">
        <v>1</v>
      </c>
      <c r="F51" s="588">
        <f>'ANEXO PB IV Comp. auxiliares'!F90</f>
        <v>579.6700000000001</v>
      </c>
      <c r="G51" s="588">
        <f>ROUND(E51*F51,2)</f>
        <v>579.67</v>
      </c>
    </row>
    <row r="52" spans="1:7" ht="15.75">
      <c r="A52" s="501">
        <v>4222</v>
      </c>
      <c r="B52" s="501" t="s">
        <v>132</v>
      </c>
      <c r="C52" s="468" t="s">
        <v>182</v>
      </c>
      <c r="D52" s="501" t="s">
        <v>183</v>
      </c>
      <c r="E52" s="589">
        <f>'ANEXO PB III Mem. de cálculo'!H376</f>
        <v>17.8</v>
      </c>
      <c r="F52" s="588">
        <v>5.51</v>
      </c>
      <c r="G52" s="588">
        <f>ROUND(E52*F52,2)</f>
        <v>98.08</v>
      </c>
    </row>
    <row r="53" spans="1:7" ht="15.75">
      <c r="A53" s="501"/>
      <c r="B53" s="501"/>
      <c r="C53" s="501"/>
      <c r="D53" s="501"/>
      <c r="E53" s="501"/>
      <c r="F53" s="501"/>
      <c r="G53" s="501"/>
    </row>
    <row r="54" spans="1:7" ht="15.75">
      <c r="A54" s="513" t="s">
        <v>142</v>
      </c>
      <c r="B54" s="513"/>
      <c r="C54" s="513"/>
      <c r="D54" s="513"/>
      <c r="E54" s="513"/>
      <c r="F54" s="514">
        <f>G12+G21+G38+G41+G44+G47+G50</f>
        <v>25715.6624</v>
      </c>
      <c r="G54" s="514"/>
    </row>
    <row r="55" spans="1:7" ht="15.75">
      <c r="A55" s="513" t="s">
        <v>143</v>
      </c>
      <c r="B55" s="513"/>
      <c r="C55" s="513"/>
      <c r="D55" s="513"/>
      <c r="E55" s="590">
        <f>'ANEXO PB  VI CALCULO BDI'!F97</f>
        <v>0.2871</v>
      </c>
      <c r="F55" s="514">
        <f>ROUND(F54*(1+E55),2)</f>
        <v>33098.63</v>
      </c>
      <c r="G55" s="514"/>
    </row>
    <row r="56" spans="1:7" ht="12.75">
      <c r="A56" s="591" t="str">
        <f>'ANEXO PB II Penha brasil'!A102</f>
        <v>OBSERVAÇÕES: 1 - Os serviços de despesas indiretas da obra devem ser medidos e pagos conforme o pecentual de execução da obra e deve ser mostrado no boletim de medição.</v>
      </c>
      <c r="B56" s="591"/>
      <c r="C56" s="591"/>
      <c r="D56" s="591"/>
      <c r="E56" s="591"/>
      <c r="F56" s="591"/>
      <c r="G56" s="591"/>
    </row>
    <row r="57" spans="1:7" ht="12.75">
      <c r="A57" s="591"/>
      <c r="B57" s="591"/>
      <c r="C57" s="591"/>
      <c r="D57" s="591"/>
      <c r="E57" s="591"/>
      <c r="F57" s="591"/>
      <c r="G57" s="591"/>
    </row>
  </sheetData>
  <sheetProtection/>
  <mergeCells count="28">
    <mergeCell ref="A1:G1"/>
    <mergeCell ref="A2:G2"/>
    <mergeCell ref="A3:G3"/>
    <mergeCell ref="A4:G4"/>
    <mergeCell ref="A5:G5"/>
    <mergeCell ref="A6:G6"/>
    <mergeCell ref="A9:G9"/>
    <mergeCell ref="E10:G10"/>
    <mergeCell ref="A17:G17"/>
    <mergeCell ref="A20:G20"/>
    <mergeCell ref="A25:G25"/>
    <mergeCell ref="A29:G29"/>
    <mergeCell ref="A33:G33"/>
    <mergeCell ref="A37:G37"/>
    <mergeCell ref="A40:G40"/>
    <mergeCell ref="A43:G43"/>
    <mergeCell ref="A46:G46"/>
    <mergeCell ref="A53:G53"/>
    <mergeCell ref="A54:E54"/>
    <mergeCell ref="F54:G54"/>
    <mergeCell ref="A55:D55"/>
    <mergeCell ref="F55:G55"/>
    <mergeCell ref="A10:A11"/>
    <mergeCell ref="B10:B11"/>
    <mergeCell ref="C10:C11"/>
    <mergeCell ref="D10:D11"/>
    <mergeCell ref="A7:E8"/>
    <mergeCell ref="A56:G57"/>
  </mergeCells>
  <printOptions/>
  <pageMargins left="1.18" right="0.79" top="1.18" bottom="0.79" header="0" footer="0.31"/>
  <pageSetup horizontalDpi="600" verticalDpi="600" orientation="portrait" paperSize="9" scale="59"/>
  <headerFooter>
    <oddHeader>&amp;C&amp;"-"&amp;12&amp;G
DEFENSORIA PÚBLICA DO ESTADO DE RORAIMA
“Amazônia: Patrimônio dos brasileiros”
Seção de Engenharia, Projetos, Fiscalização de Obras e Manutenção Predial</oddHeader>
  </headerFooter>
  <rowBreaks count="1" manualBreakCount="1">
    <brk id="59" max="6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15" zoomScaleSheetLayoutView="115" workbookViewId="0" topLeftCell="A1">
      <selection activeCell="A15" sqref="A15:G15"/>
    </sheetView>
  </sheetViews>
  <sheetFormatPr defaultColWidth="9.140625" defaultRowHeight="12.75"/>
  <cols>
    <col min="1" max="1" width="17.28125" style="451" customWidth="1"/>
    <col min="2" max="2" width="6.28125" style="566" customWidth="1"/>
    <col min="3" max="3" width="59.00390625" style="243" customWidth="1"/>
    <col min="4" max="4" width="5.8515625" style="566" customWidth="1"/>
    <col min="5" max="5" width="9.00390625" style="566" customWidth="1"/>
    <col min="6" max="6" width="10.57421875" style="566" customWidth="1"/>
    <col min="7" max="7" width="10.00390625" style="566" customWidth="1"/>
  </cols>
  <sheetData>
    <row r="1" spans="1:7" ht="15.75">
      <c r="A1" s="453" t="str">
        <f>'ANEXO PB II Alto Alegre'!A1</f>
        <v>ANEXO PB II - PLANILHA DE ORÇAMENTO - SINTÉTICO</v>
      </c>
      <c r="B1" s="453"/>
      <c r="C1" s="489"/>
      <c r="D1" s="453"/>
      <c r="E1" s="453"/>
      <c r="F1" s="453"/>
      <c r="G1" s="453"/>
    </row>
    <row r="2" spans="1:7" ht="15.75">
      <c r="A2" s="454"/>
      <c r="B2" s="454"/>
      <c r="C2" s="490"/>
      <c r="D2" s="454"/>
      <c r="E2" s="454"/>
      <c r="F2" s="454"/>
      <c r="G2" s="454"/>
    </row>
    <row r="3" spans="1:7" ht="31.5" customHeight="1">
      <c r="A3" s="455" t="str">
        <f>'ANEXO PB II Alto Alegre'!A3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54"/>
      <c r="B4" s="454"/>
      <c r="C4" s="490"/>
      <c r="D4" s="454"/>
      <c r="E4" s="454"/>
      <c r="F4" s="454"/>
      <c r="G4" s="454"/>
    </row>
    <row r="5" spans="1:7" ht="15.75">
      <c r="A5" s="453" t="s">
        <v>184</v>
      </c>
      <c r="B5" s="453"/>
      <c r="C5" s="489"/>
      <c r="D5" s="453"/>
      <c r="E5" s="453"/>
      <c r="F5" s="453"/>
      <c r="G5" s="453"/>
    </row>
    <row r="6" spans="1:7" ht="15.75">
      <c r="A6" s="454"/>
      <c r="B6" s="454"/>
      <c r="C6" s="490"/>
      <c r="D6" s="454"/>
      <c r="E6" s="454"/>
      <c r="F6" s="454"/>
      <c r="G6" s="454"/>
    </row>
    <row r="7" spans="1:7" ht="15.75">
      <c r="A7" s="453" t="s">
        <v>9</v>
      </c>
      <c r="B7" s="453"/>
      <c r="C7" s="489"/>
      <c r="D7" s="453"/>
      <c r="E7" s="453"/>
      <c r="F7" s="567" t="s">
        <v>10</v>
      </c>
      <c r="G7" s="453" t="s">
        <v>185</v>
      </c>
    </row>
    <row r="8" spans="1:7" ht="15.75">
      <c r="A8" s="453"/>
      <c r="B8" s="453"/>
      <c r="C8" s="489"/>
      <c r="D8" s="453"/>
      <c r="E8" s="453"/>
      <c r="F8" s="567" t="s">
        <v>12</v>
      </c>
      <c r="G8" s="458">
        <f>'ANEXO PB  VI CALCULO BDI'!F193</f>
        <v>0.2907</v>
      </c>
    </row>
    <row r="9" spans="1:7" ht="15.75">
      <c r="A9" s="454"/>
      <c r="B9" s="454"/>
      <c r="C9" s="490"/>
      <c r="D9" s="454"/>
      <c r="E9" s="454"/>
      <c r="F9" s="454"/>
      <c r="G9" s="454"/>
    </row>
    <row r="10" spans="1:7" ht="15.75">
      <c r="A10" s="568" t="s">
        <v>13</v>
      </c>
      <c r="B10" s="568" t="s">
        <v>14</v>
      </c>
      <c r="C10" s="569" t="s">
        <v>15</v>
      </c>
      <c r="D10" s="568" t="s">
        <v>16</v>
      </c>
      <c r="E10" s="570" t="s">
        <v>17</v>
      </c>
      <c r="F10" s="570"/>
      <c r="G10" s="570"/>
    </row>
    <row r="11" spans="1:7" ht="15.75">
      <c r="A11" s="568"/>
      <c r="B11" s="568"/>
      <c r="C11" s="569"/>
      <c r="D11" s="568"/>
      <c r="E11" s="570" t="s">
        <v>18</v>
      </c>
      <c r="F11" s="571" t="s">
        <v>19</v>
      </c>
      <c r="G11" s="571" t="s">
        <v>20</v>
      </c>
    </row>
    <row r="12" spans="1:7" ht="15.75">
      <c r="A12" s="471"/>
      <c r="B12" s="462">
        <v>1</v>
      </c>
      <c r="C12" s="497" t="s">
        <v>186</v>
      </c>
      <c r="D12" s="471"/>
      <c r="E12" s="572"/>
      <c r="F12" s="473"/>
      <c r="G12" s="573">
        <f>SUM(G13:G14)</f>
        <v>1199.5872000000002</v>
      </c>
    </row>
    <row r="13" spans="1:7" ht="15.75">
      <c r="A13" s="562">
        <v>97644</v>
      </c>
      <c r="B13" s="467" t="s">
        <v>22</v>
      </c>
      <c r="C13" s="468" t="s">
        <v>187</v>
      </c>
      <c r="D13" s="467" t="s">
        <v>188</v>
      </c>
      <c r="E13" s="574">
        <f>'ANEXO PB III Mem. de cálculo'!H384</f>
        <v>1.6800000000000002</v>
      </c>
      <c r="F13" s="575">
        <v>6.34</v>
      </c>
      <c r="G13" s="575">
        <f>E13*F13</f>
        <v>10.651200000000001</v>
      </c>
    </row>
    <row r="14" spans="1:7" ht="63">
      <c r="A14" s="467">
        <v>90843</v>
      </c>
      <c r="B14" s="467" t="s">
        <v>25</v>
      </c>
      <c r="C14" s="468" t="s">
        <v>189</v>
      </c>
      <c r="D14" s="467" t="s">
        <v>16</v>
      </c>
      <c r="E14" s="574">
        <f>E13</f>
        <v>1.6800000000000002</v>
      </c>
      <c r="F14" s="575">
        <v>707.7</v>
      </c>
      <c r="G14" s="575">
        <f>E14*F14</f>
        <v>1188.9360000000001</v>
      </c>
    </row>
    <row r="15" spans="1:7" ht="15.75">
      <c r="A15" s="467"/>
      <c r="B15" s="467"/>
      <c r="C15" s="501"/>
      <c r="D15" s="467"/>
      <c r="E15" s="467"/>
      <c r="F15" s="467"/>
      <c r="G15" s="467"/>
    </row>
    <row r="16" spans="1:7" ht="15.75">
      <c r="A16" s="471"/>
      <c r="B16" s="462">
        <v>2</v>
      </c>
      <c r="C16" s="497" t="s">
        <v>190</v>
      </c>
      <c r="D16" s="471"/>
      <c r="E16" s="572"/>
      <c r="F16" s="473"/>
      <c r="G16" s="573">
        <f>G17</f>
        <v>118.23012</v>
      </c>
    </row>
    <row r="17" spans="1:7" ht="31.5">
      <c r="A17" s="467">
        <v>96486</v>
      </c>
      <c r="B17" s="467" t="s">
        <v>28</v>
      </c>
      <c r="C17" s="468" t="s">
        <v>191</v>
      </c>
      <c r="D17" s="467"/>
      <c r="E17" s="574">
        <f>'ANEXO PB III Mem. de cálculo'!H389</f>
        <v>1.5065</v>
      </c>
      <c r="F17" s="575">
        <v>78.48</v>
      </c>
      <c r="G17" s="575">
        <f>E17*F17</f>
        <v>118.23012</v>
      </c>
    </row>
    <row r="18" spans="1:7" ht="15.75">
      <c r="A18" s="467"/>
      <c r="B18" s="467"/>
      <c r="C18" s="501"/>
      <c r="D18" s="467"/>
      <c r="E18" s="467"/>
      <c r="F18" s="467"/>
      <c r="G18" s="467"/>
    </row>
    <row r="19" spans="1:7" ht="15.75">
      <c r="A19" s="471"/>
      <c r="B19" s="462">
        <v>3</v>
      </c>
      <c r="C19" s="497" t="s">
        <v>38</v>
      </c>
      <c r="D19" s="471"/>
      <c r="E19" s="572"/>
      <c r="F19" s="473"/>
      <c r="G19" s="573">
        <f>SUM(G21:G32)</f>
        <v>3974.0800000000004</v>
      </c>
    </row>
    <row r="20" spans="1:7" ht="15.75">
      <c r="A20" s="467"/>
      <c r="B20" s="467" t="s">
        <v>39</v>
      </c>
      <c r="C20" s="503" t="s">
        <v>192</v>
      </c>
      <c r="D20" s="467"/>
      <c r="E20" s="574"/>
      <c r="F20" s="575"/>
      <c r="G20" s="575"/>
    </row>
    <row r="21" spans="1:7" ht="15.75">
      <c r="A21" s="467" t="str">
        <f>'ANEXO PB IV Comp. auxiliares'!A6</f>
        <v>COMP. 01 - DPE</v>
      </c>
      <c r="B21" s="467" t="s">
        <v>41</v>
      </c>
      <c r="C21" s="468" t="s">
        <v>42</v>
      </c>
      <c r="D21" s="467" t="s">
        <v>24</v>
      </c>
      <c r="E21" s="574">
        <f>'ANEXO PB III Mem. de cálculo'!H400</f>
        <v>202.62800000000004</v>
      </c>
      <c r="F21" s="575">
        <f>'ANEXO PB IV Comp. auxiliares'!F6</f>
        <v>1.5499999999999998</v>
      </c>
      <c r="G21" s="575">
        <f>ROUND(E21*F21,2)</f>
        <v>314.07</v>
      </c>
    </row>
    <row r="22" spans="1:7" ht="31.5">
      <c r="A22" s="467">
        <v>88489</v>
      </c>
      <c r="B22" s="467" t="s">
        <v>43</v>
      </c>
      <c r="C22" s="468" t="s">
        <v>44</v>
      </c>
      <c r="D22" s="467" t="s">
        <v>24</v>
      </c>
      <c r="E22" s="574">
        <f>E21</f>
        <v>202.62800000000004</v>
      </c>
      <c r="F22" s="575">
        <v>10.14</v>
      </c>
      <c r="G22" s="575">
        <f>ROUND(E22*F22,2)</f>
        <v>2054.65</v>
      </c>
    </row>
    <row r="23" spans="1:7" ht="15.75">
      <c r="A23" s="467"/>
      <c r="B23" s="467"/>
      <c r="C23" s="501"/>
      <c r="D23" s="467"/>
      <c r="E23" s="467"/>
      <c r="F23" s="467"/>
      <c r="G23" s="467"/>
    </row>
    <row r="24" spans="1:7" ht="15.75">
      <c r="A24" s="467"/>
      <c r="B24" s="563" t="s">
        <v>45</v>
      </c>
      <c r="C24" s="503" t="s">
        <v>193</v>
      </c>
      <c r="D24" s="467"/>
      <c r="E24" s="576"/>
      <c r="F24" s="575"/>
      <c r="G24" s="575"/>
    </row>
    <row r="25" spans="1:7" ht="15.75">
      <c r="A25" s="467">
        <v>100717</v>
      </c>
      <c r="B25" s="467" t="s">
        <v>47</v>
      </c>
      <c r="C25" s="468" t="s">
        <v>66</v>
      </c>
      <c r="D25" s="467" t="s">
        <v>24</v>
      </c>
      <c r="E25" s="574">
        <f>'ANEXO PB III Mem. de cálculo'!H408</f>
        <v>25</v>
      </c>
      <c r="F25" s="575">
        <v>6.96</v>
      </c>
      <c r="G25" s="575">
        <f>ROUND(E25*F25,2)</f>
        <v>174</v>
      </c>
    </row>
    <row r="26" spans="1:7" ht="47.25">
      <c r="A26" s="467">
        <v>100722</v>
      </c>
      <c r="B26" s="467" t="s">
        <v>49</v>
      </c>
      <c r="C26" s="468" t="s">
        <v>166</v>
      </c>
      <c r="D26" s="467" t="s">
        <v>24</v>
      </c>
      <c r="E26" s="574">
        <f>E25</f>
        <v>25</v>
      </c>
      <c r="F26" s="575">
        <v>16.91</v>
      </c>
      <c r="G26" s="575">
        <f>ROUND(E26*F26,2)</f>
        <v>422.75</v>
      </c>
    </row>
    <row r="27" spans="1:7" ht="47.25">
      <c r="A27" s="467">
        <v>100760</v>
      </c>
      <c r="B27" s="467" t="s">
        <v>194</v>
      </c>
      <c r="C27" s="468" t="s">
        <v>68</v>
      </c>
      <c r="D27" s="467" t="s">
        <v>24</v>
      </c>
      <c r="E27" s="574">
        <f>E26</f>
        <v>25</v>
      </c>
      <c r="F27" s="575">
        <v>34.25</v>
      </c>
      <c r="G27" s="575">
        <f>ROUND(E27*F27,2)</f>
        <v>856.25</v>
      </c>
    </row>
    <row r="28" spans="1:7" ht="15.75">
      <c r="A28" s="467"/>
      <c r="B28" s="467"/>
      <c r="C28" s="501"/>
      <c r="D28" s="467"/>
      <c r="E28" s="467"/>
      <c r="F28" s="467"/>
      <c r="G28" s="467"/>
    </row>
    <row r="29" spans="1:7" ht="15.75">
      <c r="A29" s="467"/>
      <c r="B29" s="563" t="s">
        <v>51</v>
      </c>
      <c r="C29" s="503" t="s">
        <v>195</v>
      </c>
      <c r="D29" s="467"/>
      <c r="E29" s="576"/>
      <c r="F29" s="575"/>
      <c r="G29" s="575"/>
    </row>
    <row r="30" spans="1:7" ht="15.75">
      <c r="A30" s="467">
        <v>102197</v>
      </c>
      <c r="B30" s="467" t="s">
        <v>53</v>
      </c>
      <c r="C30" s="468" t="s">
        <v>196</v>
      </c>
      <c r="D30" s="467"/>
      <c r="E30" s="574">
        <f>'ANEXO PB III Mem. de cálculo'!H412</f>
        <v>4.11</v>
      </c>
      <c r="F30" s="574">
        <v>13.6</v>
      </c>
      <c r="G30" s="575">
        <f>ROUND(E30*F30,2)</f>
        <v>55.9</v>
      </c>
    </row>
    <row r="31" spans="1:7" ht="31.5">
      <c r="A31" s="467">
        <v>102200</v>
      </c>
      <c r="B31" s="467" t="s">
        <v>55</v>
      </c>
      <c r="C31" s="468" t="s">
        <v>197</v>
      </c>
      <c r="D31" s="467"/>
      <c r="E31" s="574">
        <f>E30</f>
        <v>4.11</v>
      </c>
      <c r="F31" s="574">
        <v>12.21</v>
      </c>
      <c r="G31" s="575">
        <f>ROUND(E31*F31,2)</f>
        <v>50.18</v>
      </c>
    </row>
    <row r="32" spans="1:7" ht="31.5">
      <c r="A32" s="467">
        <v>102217</v>
      </c>
      <c r="B32" s="467" t="s">
        <v>198</v>
      </c>
      <c r="C32" s="468" t="s">
        <v>199</v>
      </c>
      <c r="D32" s="467"/>
      <c r="E32" s="574">
        <f>E31</f>
        <v>4.11</v>
      </c>
      <c r="F32" s="574">
        <v>11.26</v>
      </c>
      <c r="G32" s="575">
        <f>ROUND(E32*F32,2)</f>
        <v>46.28</v>
      </c>
    </row>
    <row r="33" spans="1:7" ht="15.75">
      <c r="A33" s="467"/>
      <c r="B33" s="467"/>
      <c r="C33" s="501"/>
      <c r="D33" s="467"/>
      <c r="E33" s="467"/>
      <c r="F33" s="467"/>
      <c r="G33" s="467"/>
    </row>
    <row r="34" spans="1:7" ht="15.75">
      <c r="A34" s="467"/>
      <c r="B34" s="467"/>
      <c r="C34" s="501"/>
      <c r="D34" s="467"/>
      <c r="E34" s="467"/>
      <c r="F34" s="467"/>
      <c r="G34" s="467"/>
    </row>
    <row r="35" spans="1:7" ht="15.75">
      <c r="A35" s="471"/>
      <c r="B35" s="462">
        <v>4</v>
      </c>
      <c r="C35" s="497" t="s">
        <v>200</v>
      </c>
      <c r="D35" s="471"/>
      <c r="E35" s="572"/>
      <c r="F35" s="473"/>
      <c r="G35" s="573">
        <f>G36</f>
        <v>94.21</v>
      </c>
    </row>
    <row r="36" spans="1:7" ht="31.5">
      <c r="A36" s="467">
        <v>95676</v>
      </c>
      <c r="B36" s="467" t="s">
        <v>98</v>
      </c>
      <c r="C36" s="468" t="s">
        <v>201</v>
      </c>
      <c r="D36" s="467" t="s">
        <v>16</v>
      </c>
      <c r="E36" s="574">
        <v>1</v>
      </c>
      <c r="F36" s="575">
        <v>94.21</v>
      </c>
      <c r="G36" s="575">
        <f>E36*F36</f>
        <v>94.21</v>
      </c>
    </row>
    <row r="37" spans="1:7" ht="15.75">
      <c r="A37" s="467"/>
      <c r="B37" s="467"/>
      <c r="C37" s="501"/>
      <c r="D37" s="467"/>
      <c r="E37" s="467"/>
      <c r="F37" s="467"/>
      <c r="G37" s="467"/>
    </row>
    <row r="38" spans="1:7" ht="15.75">
      <c r="A38" s="471"/>
      <c r="B38" s="462">
        <v>5</v>
      </c>
      <c r="C38" s="497" t="s">
        <v>180</v>
      </c>
      <c r="D38" s="471"/>
      <c r="E38" s="572"/>
      <c r="F38" s="473"/>
      <c r="G38" s="573">
        <f>SUM(G39:G40)</f>
        <v>37.86</v>
      </c>
    </row>
    <row r="39" spans="1:7" ht="31.5">
      <c r="A39" s="467" t="str">
        <f>'ANEXO PB IV Comp. auxiliares'!A117</f>
        <v>COMP. 19 - DPE</v>
      </c>
      <c r="B39" s="467" t="s">
        <v>107</v>
      </c>
      <c r="C39" s="468" t="s">
        <v>202</v>
      </c>
      <c r="D39" s="467" t="s">
        <v>109</v>
      </c>
      <c r="E39" s="576">
        <v>1</v>
      </c>
      <c r="F39" s="575">
        <f>'ANEXO PB III Mem. de cálculo'!H435</f>
        <v>4.8</v>
      </c>
      <c r="G39" s="575">
        <f>ROUND(E39*F39,2)</f>
        <v>4.8</v>
      </c>
    </row>
    <row r="40" spans="1:7" ht="15.75">
      <c r="A40" s="467">
        <v>4222</v>
      </c>
      <c r="B40" s="467" t="s">
        <v>110</v>
      </c>
      <c r="C40" s="468" t="s">
        <v>182</v>
      </c>
      <c r="D40" s="467" t="s">
        <v>183</v>
      </c>
      <c r="E40" s="576">
        <f>'ANEXO PB III Mem. de cálculo'!H442</f>
        <v>6</v>
      </c>
      <c r="F40" s="575">
        <v>5.51</v>
      </c>
      <c r="G40" s="575">
        <f>ROUND(E40*F40,2)</f>
        <v>33.06</v>
      </c>
    </row>
    <row r="41" spans="1:7" ht="15.75">
      <c r="A41" s="467"/>
      <c r="B41" s="467"/>
      <c r="C41" s="501"/>
      <c r="D41" s="467"/>
      <c r="E41" s="467"/>
      <c r="F41" s="467"/>
      <c r="G41" s="467"/>
    </row>
    <row r="42" spans="1:7" ht="15.75">
      <c r="A42" s="481" t="s">
        <v>142</v>
      </c>
      <c r="B42" s="481"/>
      <c r="C42" s="513"/>
      <c r="D42" s="481"/>
      <c r="E42" s="481"/>
      <c r="F42" s="483">
        <f>G12+G16+G19+G35+G38</f>
        <v>5423.96732</v>
      </c>
      <c r="G42" s="483"/>
    </row>
    <row r="43" spans="1:7" ht="15.75">
      <c r="A43" s="481" t="s">
        <v>143</v>
      </c>
      <c r="B43" s="481"/>
      <c r="C43" s="513"/>
      <c r="D43" s="481"/>
      <c r="E43" s="577">
        <f>'ANEXO PB  VI CALCULO BDI'!F193</f>
        <v>0.2907</v>
      </c>
      <c r="F43" s="483">
        <f>ROUND(F42*(1+E43),2)</f>
        <v>7000.71</v>
      </c>
      <c r="G43" s="483"/>
    </row>
    <row r="44" spans="1:7" ht="15.75">
      <c r="A44" s="485"/>
      <c r="B44" s="485"/>
      <c r="C44" s="516"/>
      <c r="D44" s="485"/>
      <c r="E44" s="485"/>
      <c r="F44" s="485"/>
      <c r="G44" s="485"/>
    </row>
    <row r="45" spans="1:7" ht="22.5" customHeight="1">
      <c r="A45" s="486" t="str">
        <f>'ANEXO PB II Penha brasil'!A102</f>
        <v>OBSERVAÇÕES: 1 - Os serviços de despesas indiretas da obra devem ser medidos e pagos conforme o pecentual de execução da obra e deve ser mostrado no boletim de medição.</v>
      </c>
      <c r="B45" s="486"/>
      <c r="C45" s="486"/>
      <c r="D45" s="486"/>
      <c r="E45" s="486"/>
      <c r="F45" s="486"/>
      <c r="G45" s="486"/>
    </row>
    <row r="46" spans="1:7" ht="22.5" customHeight="1">
      <c r="A46" s="487"/>
      <c r="B46" s="487"/>
      <c r="C46" s="487"/>
      <c r="D46" s="487"/>
      <c r="E46" s="487"/>
      <c r="F46" s="487"/>
      <c r="G46" s="487"/>
    </row>
  </sheetData>
  <sheetProtection/>
  <mergeCells count="25">
    <mergeCell ref="A1:G1"/>
    <mergeCell ref="A2:G2"/>
    <mergeCell ref="A3:G3"/>
    <mergeCell ref="A4:G4"/>
    <mergeCell ref="A5:G5"/>
    <mergeCell ref="A6:G6"/>
    <mergeCell ref="A9:G9"/>
    <mergeCell ref="E10:G10"/>
    <mergeCell ref="A15:G15"/>
    <mergeCell ref="A18:G18"/>
    <mergeCell ref="A23:G23"/>
    <mergeCell ref="A28:G28"/>
    <mergeCell ref="A37:G37"/>
    <mergeCell ref="A41:G41"/>
    <mergeCell ref="A42:E42"/>
    <mergeCell ref="F42:G42"/>
    <mergeCell ref="A43:D43"/>
    <mergeCell ref="F43:G43"/>
    <mergeCell ref="A44:G44"/>
    <mergeCell ref="A10:A11"/>
    <mergeCell ref="B10:B11"/>
    <mergeCell ref="C10:C11"/>
    <mergeCell ref="D10:D11"/>
    <mergeCell ref="A7:E8"/>
    <mergeCell ref="A45:G46"/>
  </mergeCells>
  <printOptions/>
  <pageMargins left="1.18" right="0.79" top="1.18" bottom="0.79" header="0" footer="0.31"/>
  <pageSetup horizontalDpi="600" verticalDpi="600" orientation="portrait" paperSize="9" scale="63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="115" zoomScaleSheetLayoutView="115" workbookViewId="0" topLeftCell="A1">
      <selection activeCell="F15" sqref="F15"/>
    </sheetView>
  </sheetViews>
  <sheetFormatPr defaultColWidth="9.140625" defaultRowHeight="12.75"/>
  <cols>
    <col min="1" max="1" width="17.28125" style="451" customWidth="1"/>
    <col min="2" max="2" width="6.421875" style="451" customWidth="1"/>
    <col min="3" max="3" width="69.7109375" style="243" customWidth="1"/>
    <col min="4" max="4" width="6.00390625" style="451" customWidth="1"/>
    <col min="5" max="5" width="9.28125" style="452" customWidth="1"/>
    <col min="6" max="6" width="10.57421875" style="452" customWidth="1"/>
    <col min="7" max="7" width="10.28125" style="452" customWidth="1"/>
  </cols>
  <sheetData>
    <row r="1" spans="1:7" ht="15.75">
      <c r="A1" s="453" t="str">
        <f>'ANEXO PB II Cantá'!A1</f>
        <v>ANEXO PB II - PLANILHA DE ORÇAMENTO - SINTÉTICO</v>
      </c>
      <c r="B1" s="453"/>
      <c r="C1" s="489"/>
      <c r="D1" s="453"/>
      <c r="E1" s="453"/>
      <c r="F1" s="453"/>
      <c r="G1" s="453"/>
    </row>
    <row r="2" spans="1:7" ht="15.75">
      <c r="A2" s="454"/>
      <c r="B2" s="454"/>
      <c r="C2" s="490"/>
      <c r="D2" s="454"/>
      <c r="E2" s="454"/>
      <c r="F2" s="454"/>
      <c r="G2" s="454"/>
    </row>
    <row r="3" spans="1:7" ht="33" customHeight="1">
      <c r="A3" s="455" t="str">
        <f>'ANEXO PB II Cantá'!A3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54"/>
      <c r="B4" s="454"/>
      <c r="C4" s="490"/>
      <c r="D4" s="454"/>
      <c r="E4" s="454"/>
      <c r="F4" s="454"/>
      <c r="G4" s="454"/>
    </row>
    <row r="5" spans="1:7" ht="15.75">
      <c r="A5" s="453" t="s">
        <v>203</v>
      </c>
      <c r="B5" s="453"/>
      <c r="C5" s="489"/>
      <c r="D5" s="453"/>
      <c r="E5" s="453"/>
      <c r="F5" s="453"/>
      <c r="G5" s="453"/>
    </row>
    <row r="6" spans="1:7" ht="15.75">
      <c r="A6" s="454"/>
      <c r="B6" s="454"/>
      <c r="C6" s="490"/>
      <c r="D6" s="454"/>
      <c r="E6" s="454"/>
      <c r="F6" s="454"/>
      <c r="G6" s="454"/>
    </row>
    <row r="7" spans="1:7" ht="15.75">
      <c r="A7" s="453" t="s">
        <v>9</v>
      </c>
      <c r="B7" s="453"/>
      <c r="C7" s="489"/>
      <c r="D7" s="453"/>
      <c r="E7" s="453"/>
      <c r="F7" s="453" t="s">
        <v>10</v>
      </c>
      <c r="G7" s="453" t="s">
        <v>185</v>
      </c>
    </row>
    <row r="8" spans="1:7" ht="15.75">
      <c r="A8" s="453"/>
      <c r="B8" s="453"/>
      <c r="C8" s="489"/>
      <c r="D8" s="453"/>
      <c r="E8" s="453"/>
      <c r="F8" s="453" t="s">
        <v>12</v>
      </c>
      <c r="G8" s="458">
        <f>'ANEXO PB  VI CALCULO BDI'!F145</f>
        <v>0.2907</v>
      </c>
    </row>
    <row r="9" spans="1:7" ht="15.75">
      <c r="A9" s="454"/>
      <c r="B9" s="454"/>
      <c r="C9" s="490"/>
      <c r="D9" s="454"/>
      <c r="E9" s="454"/>
      <c r="F9" s="454"/>
      <c r="G9" s="454"/>
    </row>
    <row r="10" spans="1:7" s="450" customFormat="1" ht="15.75">
      <c r="A10" s="459" t="s">
        <v>13</v>
      </c>
      <c r="B10" s="459" t="s">
        <v>14</v>
      </c>
      <c r="C10" s="493" t="s">
        <v>15</v>
      </c>
      <c r="D10" s="459" t="s">
        <v>16</v>
      </c>
      <c r="E10" s="460" t="s">
        <v>17</v>
      </c>
      <c r="F10" s="460"/>
      <c r="G10" s="460"/>
    </row>
    <row r="11" spans="1:7" s="450" customFormat="1" ht="15.75">
      <c r="A11" s="459"/>
      <c r="B11" s="459"/>
      <c r="C11" s="493"/>
      <c r="D11" s="459"/>
      <c r="E11" s="460" t="s">
        <v>18</v>
      </c>
      <c r="F11" s="461" t="s">
        <v>19</v>
      </c>
      <c r="G11" s="461" t="s">
        <v>20</v>
      </c>
    </row>
    <row r="12" spans="1:7" s="450" customFormat="1" ht="15.75">
      <c r="A12" s="462"/>
      <c r="B12" s="462">
        <v>1</v>
      </c>
      <c r="C12" s="497" t="s">
        <v>204</v>
      </c>
      <c r="D12" s="462"/>
      <c r="E12" s="464"/>
      <c r="F12" s="465"/>
      <c r="G12" s="466">
        <f>SUM(G13:G15)</f>
        <v>4922.3768</v>
      </c>
    </row>
    <row r="13" spans="1:7" ht="15.75">
      <c r="A13" s="562">
        <v>97644</v>
      </c>
      <c r="B13" s="467" t="s">
        <v>22</v>
      </c>
      <c r="C13" s="468" t="s">
        <v>187</v>
      </c>
      <c r="D13" s="467" t="s">
        <v>188</v>
      </c>
      <c r="E13" s="469">
        <f>'ANEXO PB III Mem. de cálculo'!H451</f>
        <v>3.3600000000000003</v>
      </c>
      <c r="F13" s="470">
        <v>6.34</v>
      </c>
      <c r="G13" s="470">
        <f aca="true" t="shared" si="0" ref="G13:G18">E13*F13</f>
        <v>21.302400000000002</v>
      </c>
    </row>
    <row r="14" spans="1:7" ht="15.75">
      <c r="A14" s="467">
        <v>100701</v>
      </c>
      <c r="B14" s="467" t="s">
        <v>25</v>
      </c>
      <c r="C14" s="468" t="s">
        <v>205</v>
      </c>
      <c r="D14" s="467" t="s">
        <v>188</v>
      </c>
      <c r="E14" s="469">
        <f>'ANEXO PB III Mem. de cálculo'!H457</f>
        <v>6.720000000000001</v>
      </c>
      <c r="F14" s="470">
        <v>407.02</v>
      </c>
      <c r="G14" s="470">
        <f t="shared" si="0"/>
        <v>2735.1744000000003</v>
      </c>
    </row>
    <row r="15" spans="1:7" ht="15.75">
      <c r="A15" s="467" t="str">
        <f>'ANEXO PB IV Comp. auxiliares'!A97</f>
        <v>COMP. 16 - DPE</v>
      </c>
      <c r="B15" s="467" t="s">
        <v>206</v>
      </c>
      <c r="C15" s="468" t="s">
        <v>207</v>
      </c>
      <c r="D15" s="467" t="s">
        <v>16</v>
      </c>
      <c r="E15" s="469">
        <v>1</v>
      </c>
      <c r="F15" s="470">
        <f>'ANEXO PB IV Comp. auxiliares'!F97</f>
        <v>2165.9</v>
      </c>
      <c r="G15" s="470">
        <f t="shared" si="0"/>
        <v>2165.9</v>
      </c>
    </row>
    <row r="16" spans="1:7" ht="15.75">
      <c r="A16" s="467"/>
      <c r="B16" s="467"/>
      <c r="C16" s="501"/>
      <c r="D16" s="467"/>
      <c r="E16" s="467"/>
      <c r="F16" s="467"/>
      <c r="G16" s="467"/>
    </row>
    <row r="17" spans="1:7" ht="15.75">
      <c r="A17" s="471"/>
      <c r="B17" s="462">
        <v>2</v>
      </c>
      <c r="C17" s="497" t="s">
        <v>208</v>
      </c>
      <c r="D17" s="471"/>
      <c r="E17" s="472"/>
      <c r="F17" s="473"/>
      <c r="G17" s="466">
        <f>SUM(G18:G19)</f>
        <v>213.01160000000002</v>
      </c>
    </row>
    <row r="18" spans="1:7" ht="31.5">
      <c r="A18" s="562">
        <v>97633</v>
      </c>
      <c r="B18" s="467" t="s">
        <v>28</v>
      </c>
      <c r="C18" s="468" t="s">
        <v>209</v>
      </c>
      <c r="D18" s="467" t="s">
        <v>188</v>
      </c>
      <c r="E18" s="469">
        <f>'ANEXO PB III Mem. de cálculo'!H462</f>
        <v>3.16</v>
      </c>
      <c r="F18" s="470">
        <v>15.01</v>
      </c>
      <c r="G18" s="470">
        <f t="shared" si="0"/>
        <v>47.4316</v>
      </c>
    </row>
    <row r="19" spans="1:7" ht="15.75">
      <c r="A19" s="562">
        <v>89170</v>
      </c>
      <c r="B19" s="467" t="s">
        <v>34</v>
      </c>
      <c r="C19" s="468" t="s">
        <v>210</v>
      </c>
      <c r="D19" s="467" t="s">
        <v>188</v>
      </c>
      <c r="E19" s="469">
        <f>E18</f>
        <v>3.16</v>
      </c>
      <c r="F19" s="470">
        <v>52.4</v>
      </c>
      <c r="G19" s="470">
        <f>ROUND(E19*F19,2)</f>
        <v>165.58</v>
      </c>
    </row>
    <row r="20" spans="1:7" ht="15.75">
      <c r="A20" s="467"/>
      <c r="B20" s="467"/>
      <c r="C20" s="501"/>
      <c r="D20" s="467"/>
      <c r="E20" s="467"/>
      <c r="F20" s="467"/>
      <c r="G20" s="467"/>
    </row>
    <row r="21" spans="1:7" ht="15.75">
      <c r="A21" s="471"/>
      <c r="B21" s="462">
        <v>3</v>
      </c>
      <c r="C21" s="497" t="s">
        <v>157</v>
      </c>
      <c r="D21" s="471"/>
      <c r="E21" s="472"/>
      <c r="F21" s="473"/>
      <c r="G21" s="466">
        <f>SUM(G23:G39)</f>
        <v>3638.6359999999995</v>
      </c>
    </row>
    <row r="22" spans="1:7" ht="15.75">
      <c r="A22" s="467"/>
      <c r="B22" s="563" t="s">
        <v>39</v>
      </c>
      <c r="C22" s="503" t="s">
        <v>211</v>
      </c>
      <c r="D22" s="467"/>
      <c r="E22" s="475"/>
      <c r="F22" s="470"/>
      <c r="G22" s="470" t="s">
        <v>212</v>
      </c>
    </row>
    <row r="23" spans="1:7" ht="15.75">
      <c r="A23" s="467">
        <v>88497</v>
      </c>
      <c r="B23" s="467" t="s">
        <v>41</v>
      </c>
      <c r="C23" s="468" t="s">
        <v>213</v>
      </c>
      <c r="D23" s="467" t="s">
        <v>24</v>
      </c>
      <c r="E23" s="469">
        <f>'ANEXO PB III Mem. de cálculo'!H470</f>
        <v>1.9600000000000004</v>
      </c>
      <c r="F23" s="470">
        <v>10.85</v>
      </c>
      <c r="G23" s="470">
        <f>E23*F23</f>
        <v>21.266000000000005</v>
      </c>
    </row>
    <row r="24" spans="1:7" ht="31.5">
      <c r="A24" s="467">
        <v>88489</v>
      </c>
      <c r="B24" s="467" t="s">
        <v>43</v>
      </c>
      <c r="C24" s="468" t="s">
        <v>44</v>
      </c>
      <c r="D24" s="467" t="s">
        <v>24</v>
      </c>
      <c r="E24" s="469">
        <f>E23</f>
        <v>1.9600000000000004</v>
      </c>
      <c r="F24" s="470">
        <v>10.14</v>
      </c>
      <c r="G24" s="470">
        <f>ROUND(E24*F24,2)</f>
        <v>19.87</v>
      </c>
    </row>
    <row r="25" spans="1:7" ht="15.75">
      <c r="A25" s="467"/>
      <c r="B25" s="467"/>
      <c r="C25" s="501"/>
      <c r="D25" s="467"/>
      <c r="E25" s="467"/>
      <c r="F25" s="467"/>
      <c r="G25" s="467"/>
    </row>
    <row r="26" spans="1:7" ht="15.75">
      <c r="A26" s="467"/>
      <c r="B26" s="563" t="s">
        <v>45</v>
      </c>
      <c r="C26" s="503" t="s">
        <v>214</v>
      </c>
      <c r="D26" s="467"/>
      <c r="E26" s="475"/>
      <c r="F26" s="470"/>
      <c r="G26" s="470"/>
    </row>
    <row r="27" spans="1:7" ht="31.5">
      <c r="A27" s="467">
        <v>100722</v>
      </c>
      <c r="B27" s="467" t="s">
        <v>47</v>
      </c>
      <c r="C27" s="468" t="s">
        <v>166</v>
      </c>
      <c r="D27" s="467" t="s">
        <v>24</v>
      </c>
      <c r="E27" s="469">
        <f>'ANEXO PB III Mem. de cálculo'!H457</f>
        <v>6.720000000000001</v>
      </c>
      <c r="F27" s="470">
        <v>16.91</v>
      </c>
      <c r="G27" s="470">
        <f>ROUND(E27*F27,2)</f>
        <v>113.64</v>
      </c>
    </row>
    <row r="28" spans="1:7" ht="47.25">
      <c r="A28" s="467">
        <v>100760</v>
      </c>
      <c r="B28" s="467" t="s">
        <v>49</v>
      </c>
      <c r="C28" s="468" t="s">
        <v>68</v>
      </c>
      <c r="D28" s="467" t="s">
        <v>24</v>
      </c>
      <c r="E28" s="469">
        <f>E27</f>
        <v>6.720000000000001</v>
      </c>
      <c r="F28" s="470">
        <v>34.25</v>
      </c>
      <c r="G28" s="470">
        <f>ROUND(E28*F28,2)</f>
        <v>230.16</v>
      </c>
    </row>
    <row r="29" spans="1:7" ht="15.75">
      <c r="A29" s="467"/>
      <c r="B29" s="467"/>
      <c r="C29" s="501"/>
      <c r="D29" s="467"/>
      <c r="E29" s="467"/>
      <c r="F29" s="467"/>
      <c r="G29" s="467"/>
    </row>
    <row r="30" spans="1:7" ht="15.75">
      <c r="A30" s="467"/>
      <c r="B30" s="563" t="s">
        <v>51</v>
      </c>
      <c r="C30" s="503" t="s">
        <v>160</v>
      </c>
      <c r="D30" s="467"/>
      <c r="E30" s="475"/>
      <c r="F30" s="470"/>
      <c r="G30" s="470"/>
    </row>
    <row r="31" spans="1:7" ht="15.75">
      <c r="A31" s="467">
        <v>100717</v>
      </c>
      <c r="B31" s="467" t="s">
        <v>53</v>
      </c>
      <c r="C31" s="468" t="s">
        <v>66</v>
      </c>
      <c r="D31" s="467" t="s">
        <v>24</v>
      </c>
      <c r="E31" s="469">
        <f>'ANEXO PB III Mem. de cálculo'!H478</f>
        <v>55.17</v>
      </c>
      <c r="F31" s="470">
        <v>6.96</v>
      </c>
      <c r="G31" s="470">
        <f aca="true" t="shared" si="1" ref="G31:G38">ROUND(E31*F31,2)</f>
        <v>383.98</v>
      </c>
    </row>
    <row r="32" spans="1:7" ht="31.5">
      <c r="A32" s="467">
        <v>100722</v>
      </c>
      <c r="B32" s="467" t="s">
        <v>55</v>
      </c>
      <c r="C32" s="468" t="s">
        <v>166</v>
      </c>
      <c r="D32" s="467" t="s">
        <v>24</v>
      </c>
      <c r="E32" s="469">
        <f>E31</f>
        <v>55.17</v>
      </c>
      <c r="F32" s="470">
        <v>16.91</v>
      </c>
      <c r="G32" s="470">
        <f t="shared" si="1"/>
        <v>932.92</v>
      </c>
    </row>
    <row r="33" spans="1:7" ht="47.25">
      <c r="A33" s="467">
        <v>100760</v>
      </c>
      <c r="B33" s="467" t="s">
        <v>198</v>
      </c>
      <c r="C33" s="468" t="s">
        <v>68</v>
      </c>
      <c r="D33" s="467" t="s">
        <v>24</v>
      </c>
      <c r="E33" s="469">
        <f>E32</f>
        <v>55.17</v>
      </c>
      <c r="F33" s="470">
        <v>34.25</v>
      </c>
      <c r="G33" s="470">
        <f t="shared" si="1"/>
        <v>1889.57</v>
      </c>
    </row>
    <row r="34" spans="1:7" ht="15.75">
      <c r="A34" s="467"/>
      <c r="B34" s="467"/>
      <c r="C34" s="501"/>
      <c r="D34" s="467"/>
      <c r="E34" s="467"/>
      <c r="F34" s="467"/>
      <c r="G34" s="467"/>
    </row>
    <row r="35" spans="1:7" ht="15.75">
      <c r="A35" s="467"/>
      <c r="B35" s="563" t="s">
        <v>57</v>
      </c>
      <c r="C35" s="503" t="s">
        <v>164</v>
      </c>
      <c r="D35" s="467"/>
      <c r="E35" s="475"/>
      <c r="F35" s="470"/>
      <c r="G35" s="470"/>
    </row>
    <row r="36" spans="1:7" ht="15.75">
      <c r="A36" s="467">
        <v>100717</v>
      </c>
      <c r="B36" s="467" t="s">
        <v>59</v>
      </c>
      <c r="C36" s="468" t="s">
        <v>66</v>
      </c>
      <c r="D36" s="467" t="s">
        <v>24</v>
      </c>
      <c r="E36" s="469">
        <f>'ANEXO PB III Mem. de cálculo'!H484</f>
        <v>0.8125</v>
      </c>
      <c r="F36" s="470">
        <v>6.96</v>
      </c>
      <c r="G36" s="470">
        <f t="shared" si="1"/>
        <v>5.66</v>
      </c>
    </row>
    <row r="37" spans="1:7" ht="31.5">
      <c r="A37" s="467">
        <v>100722</v>
      </c>
      <c r="B37" s="467" t="s">
        <v>61</v>
      </c>
      <c r="C37" s="468" t="s">
        <v>166</v>
      </c>
      <c r="D37" s="467" t="s">
        <v>24</v>
      </c>
      <c r="E37" s="469">
        <f>E36</f>
        <v>0.8125</v>
      </c>
      <c r="F37" s="470">
        <v>16.91</v>
      </c>
      <c r="G37" s="470">
        <f t="shared" si="1"/>
        <v>13.74</v>
      </c>
    </row>
    <row r="38" spans="1:7" ht="47.25">
      <c r="A38" s="467">
        <v>100760</v>
      </c>
      <c r="B38" s="467" t="s">
        <v>215</v>
      </c>
      <c r="C38" s="468" t="s">
        <v>68</v>
      </c>
      <c r="D38" s="467" t="s">
        <v>24</v>
      </c>
      <c r="E38" s="469">
        <f>E37</f>
        <v>0.8125</v>
      </c>
      <c r="F38" s="470">
        <v>34.25</v>
      </c>
      <c r="G38" s="470">
        <f t="shared" si="1"/>
        <v>27.83</v>
      </c>
    </row>
    <row r="39" spans="1:7" ht="15.75">
      <c r="A39" s="467"/>
      <c r="B39" s="467"/>
      <c r="C39" s="501"/>
      <c r="D39" s="467"/>
      <c r="E39" s="467"/>
      <c r="F39" s="467"/>
      <c r="G39" s="467"/>
    </row>
    <row r="40" spans="1:7" ht="15.75">
      <c r="A40" s="471"/>
      <c r="B40" s="462">
        <v>4</v>
      </c>
      <c r="C40" s="497" t="s">
        <v>173</v>
      </c>
      <c r="D40" s="471"/>
      <c r="E40" s="472"/>
      <c r="F40" s="473"/>
      <c r="G40" s="466">
        <f>G41</f>
        <v>52</v>
      </c>
    </row>
    <row r="41" spans="1:7" ht="15.75">
      <c r="A41" s="467" t="str">
        <f>'ANEXO PB IV Comp. auxiliares'!A73</f>
        <v>COMP. 12  DPE</v>
      </c>
      <c r="B41" s="467" t="s">
        <v>98</v>
      </c>
      <c r="C41" s="468" t="s">
        <v>175</v>
      </c>
      <c r="D41" s="467" t="s">
        <v>176</v>
      </c>
      <c r="E41" s="469">
        <v>5.4</v>
      </c>
      <c r="F41" s="470">
        <f>'ANEXO PB IV Comp. auxiliares'!F73</f>
        <v>9.629999999999999</v>
      </c>
      <c r="G41" s="470">
        <f>ROUND(E41*F41,2)</f>
        <v>52</v>
      </c>
    </row>
    <row r="42" spans="1:7" ht="15.75">
      <c r="A42" s="467"/>
      <c r="B42" s="467"/>
      <c r="C42" s="501"/>
      <c r="D42" s="467"/>
      <c r="E42" s="467"/>
      <c r="F42" s="467"/>
      <c r="G42" s="467"/>
    </row>
    <row r="43" spans="1:7" ht="15.75">
      <c r="A43" s="471"/>
      <c r="B43" s="462">
        <v>5</v>
      </c>
      <c r="C43" s="497" t="s">
        <v>178</v>
      </c>
      <c r="D43" s="471"/>
      <c r="E43" s="472"/>
      <c r="F43" s="473"/>
      <c r="G43" s="466">
        <f>SUM(G44)</f>
        <v>64.42</v>
      </c>
    </row>
    <row r="44" spans="1:7" ht="15.75">
      <c r="A44" s="467" t="str">
        <f>'ANEXO PB IV Comp. auxiliares'!A85</f>
        <v>COMP. 14  DPE</v>
      </c>
      <c r="B44" s="467" t="s">
        <v>107</v>
      </c>
      <c r="C44" s="468" t="s">
        <v>179</v>
      </c>
      <c r="D44" s="467" t="s">
        <v>16</v>
      </c>
      <c r="E44" s="475">
        <v>1</v>
      </c>
      <c r="F44" s="470">
        <f>'ANEXO PB IV Comp. auxiliares'!F85</f>
        <v>64.42</v>
      </c>
      <c r="G44" s="470">
        <f>E44*F44</f>
        <v>64.42</v>
      </c>
    </row>
    <row r="45" spans="1:7" ht="15.75">
      <c r="A45" s="467"/>
      <c r="B45" s="467"/>
      <c r="C45" s="501"/>
      <c r="D45" s="467"/>
      <c r="E45" s="467"/>
      <c r="F45" s="467"/>
      <c r="G45" s="467"/>
    </row>
    <row r="46" spans="1:7" ht="15.75">
      <c r="A46" s="471"/>
      <c r="B46" s="462">
        <v>6</v>
      </c>
      <c r="C46" s="497" t="s">
        <v>180</v>
      </c>
      <c r="D46" s="471"/>
      <c r="E46" s="472"/>
      <c r="F46" s="473"/>
      <c r="G46" s="466">
        <f>SUM(G47:G48)</f>
        <v>202.96</v>
      </c>
    </row>
    <row r="47" spans="1:7" ht="15.75">
      <c r="A47" s="467" t="str">
        <f>'ANEXO PB IV Comp. auxiliares'!A121</f>
        <v>COMP. 20 - DPE</v>
      </c>
      <c r="B47" s="467" t="s">
        <v>119</v>
      </c>
      <c r="C47" s="468" t="s">
        <v>216</v>
      </c>
      <c r="D47" s="467" t="s">
        <v>109</v>
      </c>
      <c r="E47" s="475">
        <v>1</v>
      </c>
      <c r="F47" s="470">
        <f>'ANEXO PB IV Comp. auxiliares'!F121</f>
        <v>66.31</v>
      </c>
      <c r="G47" s="470">
        <f>ROUND(E47*F47,2)</f>
        <v>66.31</v>
      </c>
    </row>
    <row r="48" spans="1:7" ht="15.75">
      <c r="A48" s="467">
        <v>4222</v>
      </c>
      <c r="B48" s="467" t="s">
        <v>121</v>
      </c>
      <c r="C48" s="468" t="s">
        <v>182</v>
      </c>
      <c r="D48" s="467" t="s">
        <v>183</v>
      </c>
      <c r="E48" s="475">
        <f>'ANEXO PB III Mem. de cálculo'!H513</f>
        <v>24.8</v>
      </c>
      <c r="F48" s="470">
        <v>5.51</v>
      </c>
      <c r="G48" s="470">
        <f>ROUND(E48*F48,2)</f>
        <v>136.65</v>
      </c>
    </row>
    <row r="49" spans="1:7" ht="15.75">
      <c r="A49" s="467"/>
      <c r="B49" s="467"/>
      <c r="C49" s="501"/>
      <c r="D49" s="467"/>
      <c r="E49" s="467"/>
      <c r="F49" s="467"/>
      <c r="G49" s="467"/>
    </row>
    <row r="50" spans="1:7" ht="15.75">
      <c r="A50" s="481" t="s">
        <v>142</v>
      </c>
      <c r="B50" s="481"/>
      <c r="C50" s="513"/>
      <c r="D50" s="481"/>
      <c r="E50" s="482"/>
      <c r="F50" s="483">
        <f>G12+G17+G21+G40+G43+G46</f>
        <v>9093.404399999998</v>
      </c>
      <c r="G50" s="483"/>
    </row>
    <row r="51" spans="1:7" ht="15.75">
      <c r="A51" s="481" t="s">
        <v>143</v>
      </c>
      <c r="B51" s="481"/>
      <c r="C51" s="513"/>
      <c r="D51" s="481"/>
      <c r="E51" s="484">
        <f>'ANEXO PB  VI CALCULO BDI'!F145</f>
        <v>0.2907</v>
      </c>
      <c r="F51" s="483">
        <f>ROUND(F50*(1+E51),2)</f>
        <v>11736.86</v>
      </c>
      <c r="G51" s="483"/>
    </row>
    <row r="52" spans="1:7" ht="15.75">
      <c r="A52" s="485"/>
      <c r="B52" s="485"/>
      <c r="C52" s="516"/>
      <c r="D52" s="485"/>
      <c r="E52" s="485"/>
      <c r="F52" s="485"/>
      <c r="G52" s="485"/>
    </row>
    <row r="53" spans="1:7" ht="25.5" customHeight="1">
      <c r="A53" s="486" t="str">
        <f>'ANEXO PB II Cantá'!A45</f>
        <v>OBSERVAÇÕES: 1 - Os serviços de despesas indiretas da obra devem ser medidos e pagos conforme o pecentual de execução da obra e deve ser mostrado no boletim de medição.</v>
      </c>
      <c r="B53" s="486"/>
      <c r="C53" s="486"/>
      <c r="D53" s="486"/>
      <c r="E53" s="564"/>
      <c r="F53" s="564"/>
      <c r="G53" s="564"/>
    </row>
    <row r="54" spans="1:7" ht="25.5" customHeight="1">
      <c r="A54" s="487"/>
      <c r="B54" s="487"/>
      <c r="C54" s="487"/>
      <c r="D54" s="487"/>
      <c r="E54" s="565"/>
      <c r="F54" s="565"/>
      <c r="G54" s="565"/>
    </row>
  </sheetData>
  <sheetProtection/>
  <mergeCells count="28">
    <mergeCell ref="A1:G1"/>
    <mergeCell ref="A2:G2"/>
    <mergeCell ref="A3:G3"/>
    <mergeCell ref="A4:G4"/>
    <mergeCell ref="A5:G5"/>
    <mergeCell ref="A6:G6"/>
    <mergeCell ref="A9:G9"/>
    <mergeCell ref="E10:G10"/>
    <mergeCell ref="A16:G16"/>
    <mergeCell ref="A20:G20"/>
    <mergeCell ref="A25:G25"/>
    <mergeCell ref="A29:G29"/>
    <mergeCell ref="A34:G34"/>
    <mergeCell ref="A39:G39"/>
    <mergeCell ref="A42:G42"/>
    <mergeCell ref="A45:G45"/>
    <mergeCell ref="A49:G49"/>
    <mergeCell ref="A50:E50"/>
    <mergeCell ref="F50:G50"/>
    <mergeCell ref="A51:D51"/>
    <mergeCell ref="F51:G51"/>
    <mergeCell ref="A52:G52"/>
    <mergeCell ref="A10:A11"/>
    <mergeCell ref="B10:B11"/>
    <mergeCell ref="C10:C11"/>
    <mergeCell ref="D10:D11"/>
    <mergeCell ref="A7:E8"/>
    <mergeCell ref="A53:G54"/>
  </mergeCells>
  <printOptions/>
  <pageMargins left="1.18" right="0.79" top="1.18" bottom="0.79" header="0" footer="0.31"/>
  <pageSetup horizontalDpi="600" verticalDpi="600" orientation="portrait" paperSize="9" scale="58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15" zoomScaleSheetLayoutView="115" workbookViewId="0" topLeftCell="A1">
      <selection activeCell="G7" sqref="G1:G65536"/>
    </sheetView>
  </sheetViews>
  <sheetFormatPr defaultColWidth="9.140625" defaultRowHeight="12.75"/>
  <cols>
    <col min="1" max="1" width="15.57421875" style="86" customWidth="1"/>
    <col min="2" max="2" width="5.57421875" style="86" customWidth="1"/>
    <col min="3" max="3" width="74.57421875" style="243" customWidth="1"/>
    <col min="4" max="4" width="5.140625" style="86" customWidth="1"/>
    <col min="5" max="5" width="8.421875" style="86" customWidth="1"/>
    <col min="6" max="6" width="9.140625" style="86" customWidth="1"/>
    <col min="7" max="7" width="8.421875" style="86" customWidth="1"/>
  </cols>
  <sheetData>
    <row r="1" spans="1:7" ht="15.75">
      <c r="A1" s="533" t="str">
        <f>'ANEXO PB II Bonfim'!A1</f>
        <v>ANEXO PB II - PLANILHA DE ORÇAMENTO - SINTÉTICO</v>
      </c>
      <c r="B1" s="534"/>
      <c r="C1" s="534"/>
      <c r="D1" s="534"/>
      <c r="E1" s="534"/>
      <c r="F1" s="534"/>
      <c r="G1" s="534"/>
    </row>
    <row r="2" spans="1:7" ht="15.75">
      <c r="A2" s="535"/>
      <c r="B2" s="536"/>
      <c r="C2" s="536"/>
      <c r="D2" s="536"/>
      <c r="E2" s="536"/>
      <c r="F2" s="536"/>
      <c r="G2" s="536"/>
    </row>
    <row r="3" spans="1:7" s="532" customFormat="1" ht="33" customHeight="1">
      <c r="A3" s="537" t="str">
        <f>'ANEXO PB II Bonfim'!A3</f>
        <v>OBRA: CONTRATAÇÃO DE EMPRESA PARA RECUPERAÇÃO DOS PRÉDIOS DA DEFENSORIA PÚBLICA DO ESTADO DE RORAIMA NA CAPITAL E NOS MUNICÍPIO DO INTERIOR</v>
      </c>
      <c r="B3" s="538"/>
      <c r="C3" s="538"/>
      <c r="D3" s="538"/>
      <c r="E3" s="538"/>
      <c r="F3" s="538"/>
      <c r="G3" s="538"/>
    </row>
    <row r="4" spans="1:7" ht="15.75">
      <c r="A4" s="535"/>
      <c r="B4" s="536"/>
      <c r="C4" s="536"/>
      <c r="D4" s="536"/>
      <c r="E4" s="536"/>
      <c r="F4" s="536"/>
      <c r="G4" s="536"/>
    </row>
    <row r="5" spans="1:7" ht="15.75">
      <c r="A5" s="533" t="s">
        <v>217</v>
      </c>
      <c r="B5" s="534"/>
      <c r="C5" s="534"/>
      <c r="D5" s="534"/>
      <c r="E5" s="534"/>
      <c r="F5" s="534"/>
      <c r="G5" s="534"/>
    </row>
    <row r="6" spans="1:7" ht="15.75">
      <c r="A6" s="535"/>
      <c r="B6" s="536"/>
      <c r="C6" s="536"/>
      <c r="D6" s="536"/>
      <c r="E6" s="536"/>
      <c r="F6" s="536"/>
      <c r="G6" s="536"/>
    </row>
    <row r="7" spans="1:7" ht="15.75">
      <c r="A7" s="533" t="s">
        <v>9</v>
      </c>
      <c r="B7" s="534"/>
      <c r="C7" s="534"/>
      <c r="D7" s="534"/>
      <c r="E7" s="539"/>
      <c r="F7" s="491" t="s">
        <v>10</v>
      </c>
      <c r="G7" s="489" t="s">
        <v>185</v>
      </c>
    </row>
    <row r="8" spans="1:7" ht="15.75">
      <c r="A8" s="540"/>
      <c r="B8" s="541"/>
      <c r="C8" s="541"/>
      <c r="D8" s="541"/>
      <c r="E8" s="542"/>
      <c r="F8" s="491" t="s">
        <v>12</v>
      </c>
      <c r="G8" s="492">
        <f>'ANEXO PB  VI CALCULO BDI'!F385</f>
        <v>0.2907</v>
      </c>
    </row>
    <row r="9" spans="1:7" ht="15.75">
      <c r="A9" s="535"/>
      <c r="B9" s="536"/>
      <c r="C9" s="536"/>
      <c r="D9" s="536"/>
      <c r="E9" s="536"/>
      <c r="F9" s="536"/>
      <c r="G9" s="536"/>
    </row>
    <row r="10" spans="1:7" s="450" customFormat="1" ht="15.75">
      <c r="A10" s="493" t="s">
        <v>13</v>
      </c>
      <c r="B10" s="493" t="s">
        <v>14</v>
      </c>
      <c r="C10" s="493" t="s">
        <v>15</v>
      </c>
      <c r="D10" s="543" t="s">
        <v>16</v>
      </c>
      <c r="E10" s="544" t="s">
        <v>17</v>
      </c>
      <c r="F10" s="545"/>
      <c r="G10" s="546"/>
    </row>
    <row r="11" spans="1:7" s="450" customFormat="1" ht="31.5">
      <c r="A11" s="493"/>
      <c r="B11" s="493"/>
      <c r="C11" s="493"/>
      <c r="D11" s="547"/>
      <c r="E11" s="548" t="s">
        <v>18</v>
      </c>
      <c r="F11" s="495" t="s">
        <v>19</v>
      </c>
      <c r="G11" s="495" t="s">
        <v>20</v>
      </c>
    </row>
    <row r="12" spans="1:7" s="450" customFormat="1" ht="15.75">
      <c r="A12" s="496"/>
      <c r="B12" s="496">
        <v>1</v>
      </c>
      <c r="C12" s="497" t="s">
        <v>218</v>
      </c>
      <c r="D12" s="496"/>
      <c r="E12" s="498"/>
      <c r="F12" s="499"/>
      <c r="G12" s="500">
        <f>SUM(G13:G14)</f>
        <v>719.6826000000001</v>
      </c>
    </row>
    <row r="13" spans="1:7" ht="15.75">
      <c r="A13" s="549">
        <v>97644</v>
      </c>
      <c r="B13" s="501" t="s">
        <v>22</v>
      </c>
      <c r="C13" s="468" t="s">
        <v>187</v>
      </c>
      <c r="D13" s="501" t="s">
        <v>188</v>
      </c>
      <c r="E13" s="504">
        <f>'ANEXO PB III Mem. de cálculo'!H519</f>
        <v>1.8900000000000001</v>
      </c>
      <c r="F13" s="505">
        <v>6.34</v>
      </c>
      <c r="G13" s="505">
        <f aca="true" t="shared" si="0" ref="G13:G18">E13*F13</f>
        <v>11.9826</v>
      </c>
    </row>
    <row r="14" spans="1:7" ht="63">
      <c r="A14" s="501">
        <v>90843</v>
      </c>
      <c r="B14" s="501" t="s">
        <v>25</v>
      </c>
      <c r="C14" s="468" t="s">
        <v>189</v>
      </c>
      <c r="D14" s="501" t="s">
        <v>16</v>
      </c>
      <c r="E14" s="504">
        <v>1</v>
      </c>
      <c r="F14" s="505">
        <v>707.7</v>
      </c>
      <c r="G14" s="505">
        <f t="shared" si="0"/>
        <v>707.7</v>
      </c>
    </row>
    <row r="15" spans="1:7" ht="15.75">
      <c r="A15" s="550"/>
      <c r="B15" s="551"/>
      <c r="C15" s="551"/>
      <c r="D15" s="551"/>
      <c r="E15" s="551"/>
      <c r="F15" s="551"/>
      <c r="G15" s="552"/>
    </row>
    <row r="16" spans="1:7" ht="15.75">
      <c r="A16" s="506"/>
      <c r="B16" s="496">
        <v>2</v>
      </c>
      <c r="C16" s="497" t="s">
        <v>38</v>
      </c>
      <c r="D16" s="506"/>
      <c r="E16" s="507"/>
      <c r="F16" s="508"/>
      <c r="G16" s="500">
        <f>SUM(G18:G24)</f>
        <v>191.13699999999997</v>
      </c>
    </row>
    <row r="17" spans="1:7" ht="15.75">
      <c r="A17" s="501"/>
      <c r="B17" s="502" t="s">
        <v>28</v>
      </c>
      <c r="C17" s="503" t="s">
        <v>211</v>
      </c>
      <c r="D17" s="501"/>
      <c r="E17" s="512"/>
      <c r="F17" s="505"/>
      <c r="G17" s="505" t="s">
        <v>212</v>
      </c>
    </row>
    <row r="18" spans="1:7" ht="15.75">
      <c r="A18" s="501">
        <v>88497</v>
      </c>
      <c r="B18" s="501" t="s">
        <v>30</v>
      </c>
      <c r="C18" s="468" t="s">
        <v>213</v>
      </c>
      <c r="D18" s="501" t="s">
        <v>24</v>
      </c>
      <c r="E18" s="504">
        <f>'ANEXO PB III Mem. de cálculo'!H525</f>
        <v>0.6200000000000001</v>
      </c>
      <c r="F18" s="505">
        <v>10.85</v>
      </c>
      <c r="G18" s="505">
        <f t="shared" si="0"/>
        <v>6.727000000000001</v>
      </c>
    </row>
    <row r="19" spans="1:7" ht="31.5">
      <c r="A19" s="501">
        <v>88489</v>
      </c>
      <c r="B19" s="501" t="s">
        <v>32</v>
      </c>
      <c r="C19" s="468" t="s">
        <v>44</v>
      </c>
      <c r="D19" s="501" t="s">
        <v>24</v>
      </c>
      <c r="E19" s="504">
        <f>E18</f>
        <v>0.6200000000000001</v>
      </c>
      <c r="F19" s="505">
        <v>10.14</v>
      </c>
      <c r="G19" s="505">
        <f>ROUND(E19*F19,2)</f>
        <v>6.29</v>
      </c>
    </row>
    <row r="20" spans="1:7" ht="15.75">
      <c r="A20" s="550"/>
      <c r="B20" s="551"/>
      <c r="C20" s="551"/>
      <c r="D20" s="551"/>
      <c r="E20" s="551"/>
      <c r="F20" s="551"/>
      <c r="G20" s="552"/>
    </row>
    <row r="21" spans="1:7" ht="15.75">
      <c r="A21" s="501"/>
      <c r="B21" s="502" t="s">
        <v>34</v>
      </c>
      <c r="C21" s="503" t="s">
        <v>219</v>
      </c>
      <c r="D21" s="501"/>
      <c r="E21" s="512"/>
      <c r="F21" s="505"/>
      <c r="G21" s="505"/>
    </row>
    <row r="22" spans="1:7" ht="15.75">
      <c r="A22" s="501">
        <v>102197</v>
      </c>
      <c r="B22" s="501" t="s">
        <v>36</v>
      </c>
      <c r="C22" s="468" t="s">
        <v>196</v>
      </c>
      <c r="D22" s="501"/>
      <c r="E22" s="504">
        <f>'ANEXO PB III Mem. de cálculo'!H530</f>
        <v>4.805</v>
      </c>
      <c r="F22" s="504">
        <v>13.6</v>
      </c>
      <c r="G22" s="505">
        <f>ROUND(E22*F22,2)</f>
        <v>65.35</v>
      </c>
    </row>
    <row r="23" spans="1:7" ht="31.5">
      <c r="A23" s="501">
        <v>102200</v>
      </c>
      <c r="B23" s="501" t="s">
        <v>37</v>
      </c>
      <c r="C23" s="468" t="s">
        <v>197</v>
      </c>
      <c r="D23" s="501"/>
      <c r="E23" s="504">
        <f>E22</f>
        <v>4.805</v>
      </c>
      <c r="F23" s="504">
        <v>12.21</v>
      </c>
      <c r="G23" s="505">
        <f>ROUND(E23*F23,2)</f>
        <v>58.67</v>
      </c>
    </row>
    <row r="24" spans="1:7" ht="15.75">
      <c r="A24" s="501">
        <v>102217</v>
      </c>
      <c r="B24" s="501" t="s">
        <v>220</v>
      </c>
      <c r="C24" s="468" t="s">
        <v>199</v>
      </c>
      <c r="D24" s="501"/>
      <c r="E24" s="504">
        <f>E23</f>
        <v>4.805</v>
      </c>
      <c r="F24" s="504">
        <v>11.26</v>
      </c>
      <c r="G24" s="505">
        <f>ROUND(E24*F24,2)</f>
        <v>54.1</v>
      </c>
    </row>
    <row r="25" spans="1:7" ht="15.75">
      <c r="A25" s="550"/>
      <c r="B25" s="551"/>
      <c r="C25" s="551"/>
      <c r="D25" s="551"/>
      <c r="E25" s="551"/>
      <c r="F25" s="551"/>
      <c r="G25" s="552"/>
    </row>
    <row r="26" spans="1:7" ht="15.75">
      <c r="A26" s="506"/>
      <c r="B26" s="496">
        <v>3</v>
      </c>
      <c r="C26" s="497" t="s">
        <v>178</v>
      </c>
      <c r="D26" s="506"/>
      <c r="E26" s="507"/>
      <c r="F26" s="508"/>
      <c r="G26" s="500">
        <f>SUM(G27)</f>
        <v>64.42</v>
      </c>
    </row>
    <row r="27" spans="1:7" ht="15.75">
      <c r="A27" s="501" t="str">
        <f>'ANEXO PB IV Comp. auxiliares'!A85</f>
        <v>COMP. 14  DPE</v>
      </c>
      <c r="B27" s="501" t="s">
        <v>39</v>
      </c>
      <c r="C27" s="468" t="s">
        <v>179</v>
      </c>
      <c r="D27" s="501" t="s">
        <v>16</v>
      </c>
      <c r="E27" s="512">
        <v>1</v>
      </c>
      <c r="F27" s="505">
        <f>'ANEXO PB IV Comp. auxiliares'!F85</f>
        <v>64.42</v>
      </c>
      <c r="G27" s="505">
        <f>E27*F27</f>
        <v>64.42</v>
      </c>
    </row>
    <row r="28" spans="1:7" ht="15.75">
      <c r="A28" s="550"/>
      <c r="B28" s="551"/>
      <c r="C28" s="551"/>
      <c r="D28" s="551"/>
      <c r="E28" s="551"/>
      <c r="F28" s="551"/>
      <c r="G28" s="552"/>
    </row>
    <row r="29" spans="1:7" ht="15.75">
      <c r="A29" s="506"/>
      <c r="B29" s="496">
        <v>4</v>
      </c>
      <c r="C29" s="497" t="s">
        <v>180</v>
      </c>
      <c r="D29" s="506"/>
      <c r="E29" s="507"/>
      <c r="F29" s="508"/>
      <c r="G29" s="500">
        <f>SUM(G30:G31)</f>
        <v>384.57</v>
      </c>
    </row>
    <row r="30" spans="1:7" ht="15.75">
      <c r="A30" s="501" t="str">
        <f>'ANEXO PB IV Comp. auxiliares'!A126</f>
        <v>COMP. 21 - DPE</v>
      </c>
      <c r="B30" s="501" t="s">
        <v>98</v>
      </c>
      <c r="C30" s="468" t="s">
        <v>221</v>
      </c>
      <c r="D30" s="501" t="s">
        <v>109</v>
      </c>
      <c r="E30" s="512">
        <v>1</v>
      </c>
      <c r="F30" s="505">
        <f>'ANEXO PB IV Comp. auxiliares'!F126</f>
        <v>31.93</v>
      </c>
      <c r="G30" s="505">
        <f>ROUND(E30*F30,2)</f>
        <v>31.93</v>
      </c>
    </row>
    <row r="31" spans="1:7" ht="15.75">
      <c r="A31" s="501">
        <v>4222</v>
      </c>
      <c r="B31" s="501" t="s">
        <v>102</v>
      </c>
      <c r="C31" s="468" t="s">
        <v>182</v>
      </c>
      <c r="D31" s="501" t="s">
        <v>183</v>
      </c>
      <c r="E31" s="512">
        <f>'ANEXO PB III Mem. de cálculo'!H549</f>
        <v>64</v>
      </c>
      <c r="F31" s="505">
        <v>5.51</v>
      </c>
      <c r="G31" s="505">
        <f>ROUND(E31*F31,2)</f>
        <v>352.64</v>
      </c>
    </row>
    <row r="32" spans="1:7" ht="15.75">
      <c r="A32" s="550"/>
      <c r="B32" s="551"/>
      <c r="C32" s="551"/>
      <c r="D32" s="551"/>
      <c r="E32" s="551"/>
      <c r="F32" s="551"/>
      <c r="G32" s="552"/>
    </row>
    <row r="33" spans="1:7" ht="15.75">
      <c r="A33" s="553" t="s">
        <v>142</v>
      </c>
      <c r="B33" s="554"/>
      <c r="C33" s="554"/>
      <c r="D33" s="554"/>
      <c r="E33" s="555"/>
      <c r="F33" s="556">
        <f>G12+G16+G26+G29</f>
        <v>1359.8096</v>
      </c>
      <c r="G33" s="557"/>
    </row>
    <row r="34" spans="1:7" ht="15.75">
      <c r="A34" s="553" t="s">
        <v>143</v>
      </c>
      <c r="B34" s="554"/>
      <c r="C34" s="554"/>
      <c r="D34" s="554"/>
      <c r="E34" s="558">
        <f>'ANEXO PB  VI CALCULO BDI'!F385</f>
        <v>0.2907</v>
      </c>
      <c r="F34" s="556">
        <f>ROUND(F33*(1+E34),2)</f>
        <v>1755.11</v>
      </c>
      <c r="G34" s="557"/>
    </row>
    <row r="35" spans="1:7" ht="15.75">
      <c r="A35" s="559"/>
      <c r="B35" s="560"/>
      <c r="C35" s="560"/>
      <c r="D35" s="560"/>
      <c r="E35" s="560"/>
      <c r="F35" s="560"/>
      <c r="G35" s="561"/>
    </row>
    <row r="36" spans="1:7" ht="24" customHeight="1">
      <c r="A36" s="486" t="str">
        <f>'ANEXO PB II Bonfim'!A53</f>
        <v>OBSERVAÇÕES: 1 - Os serviços de despesas indiretas da obra devem ser medidos e pagos conforme o pecentual de execução da obra e deve ser mostrado no boletim de medição.</v>
      </c>
      <c r="B36" s="486"/>
      <c r="C36" s="486"/>
      <c r="D36" s="486"/>
      <c r="E36" s="486"/>
      <c r="F36" s="486"/>
      <c r="G36" s="486"/>
    </row>
    <row r="37" spans="1:7" ht="24" customHeight="1">
      <c r="A37" s="487"/>
      <c r="B37" s="487"/>
      <c r="C37" s="487"/>
      <c r="D37" s="487"/>
      <c r="E37" s="487"/>
      <c r="F37" s="487"/>
      <c r="G37" s="487"/>
    </row>
  </sheetData>
  <sheetProtection/>
  <mergeCells count="24">
    <mergeCell ref="A1:G1"/>
    <mergeCell ref="A2:G2"/>
    <mergeCell ref="A3:G3"/>
    <mergeCell ref="A4:G4"/>
    <mergeCell ref="A5:G5"/>
    <mergeCell ref="A6:G6"/>
    <mergeCell ref="A9:G9"/>
    <mergeCell ref="E10:G10"/>
    <mergeCell ref="A15:G15"/>
    <mergeCell ref="A20:G20"/>
    <mergeCell ref="A25:G25"/>
    <mergeCell ref="A28:G28"/>
    <mergeCell ref="A32:G32"/>
    <mergeCell ref="A33:E33"/>
    <mergeCell ref="F33:G33"/>
    <mergeCell ref="A34:D34"/>
    <mergeCell ref="F34:G34"/>
    <mergeCell ref="A35:G35"/>
    <mergeCell ref="A10:A11"/>
    <mergeCell ref="B10:B11"/>
    <mergeCell ref="C10:C11"/>
    <mergeCell ref="D10:D11"/>
    <mergeCell ref="A7:E8"/>
    <mergeCell ref="A36:G37"/>
  </mergeCells>
  <printOptions/>
  <pageMargins left="1.18" right="0.79" top="1.18" bottom="0.79" header="0" footer="0.31"/>
  <pageSetup horizontalDpi="600" verticalDpi="600" orientation="portrait" paperSize="9" scale="58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15" zoomScaleSheetLayoutView="115" workbookViewId="0" topLeftCell="A1">
      <selection activeCell="A1" sqref="A1:G1"/>
    </sheetView>
  </sheetViews>
  <sheetFormatPr defaultColWidth="9.140625" defaultRowHeight="12.75"/>
  <cols>
    <col min="1" max="1" width="15.57421875" style="243" customWidth="1"/>
    <col min="2" max="2" width="5.421875" style="243" customWidth="1"/>
    <col min="3" max="3" width="66.140625" style="243" customWidth="1"/>
    <col min="4" max="4" width="5.140625" style="243" customWidth="1"/>
    <col min="5" max="5" width="8.421875" style="243" customWidth="1"/>
    <col min="6" max="7" width="9.57421875" style="243" customWidth="1"/>
  </cols>
  <sheetData>
    <row r="1" spans="1:7" ht="15.75">
      <c r="A1" s="489" t="str">
        <f>'ANEXO PB II São Luiz'!A1</f>
        <v>ANEXO PB II - PLANILHA DE ORÇAMENTO - SINTÉTICO</v>
      </c>
      <c r="B1" s="489"/>
      <c r="C1" s="489"/>
      <c r="D1" s="489"/>
      <c r="E1" s="489"/>
      <c r="F1" s="489"/>
      <c r="G1" s="489"/>
    </row>
    <row r="2" spans="1:7" ht="15.75">
      <c r="A2" s="490"/>
      <c r="B2" s="490"/>
      <c r="C2" s="490"/>
      <c r="D2" s="490"/>
      <c r="E2" s="490"/>
      <c r="F2" s="490"/>
      <c r="G2" s="490"/>
    </row>
    <row r="3" spans="1:7" ht="39" customHeight="1">
      <c r="A3" s="455" t="str">
        <f>'ANEXO PB II São Luiz'!A3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90"/>
      <c r="B4" s="490"/>
      <c r="C4" s="490"/>
      <c r="D4" s="490"/>
      <c r="E4" s="490"/>
      <c r="F4" s="490"/>
      <c r="G4" s="490"/>
    </row>
    <row r="5" spans="1:7" ht="15.75">
      <c r="A5" s="489" t="s">
        <v>222</v>
      </c>
      <c r="B5" s="489"/>
      <c r="C5" s="489"/>
      <c r="D5" s="489"/>
      <c r="E5" s="489"/>
      <c r="F5" s="489"/>
      <c r="G5" s="489"/>
    </row>
    <row r="6" spans="1:7" ht="15.75">
      <c r="A6" s="490"/>
      <c r="B6" s="490"/>
      <c r="C6" s="490"/>
      <c r="D6" s="490"/>
      <c r="E6" s="490"/>
      <c r="F6" s="490"/>
      <c r="G6" s="490"/>
    </row>
    <row r="7" spans="1:7" ht="15.75">
      <c r="A7" s="489" t="s">
        <v>9</v>
      </c>
      <c r="B7" s="489"/>
      <c r="C7" s="489"/>
      <c r="D7" s="489"/>
      <c r="E7" s="489"/>
      <c r="F7" s="491" t="s">
        <v>10</v>
      </c>
      <c r="G7" s="489" t="s">
        <v>185</v>
      </c>
    </row>
    <row r="8" spans="1:7" ht="15.75">
      <c r="A8" s="489"/>
      <c r="B8" s="489"/>
      <c r="C8" s="489"/>
      <c r="D8" s="489"/>
      <c r="E8" s="489"/>
      <c r="F8" s="491" t="s">
        <v>12</v>
      </c>
      <c r="G8" s="492">
        <f>'ANEXO PB  VI CALCULO BDI'!F385</f>
        <v>0.2907</v>
      </c>
    </row>
    <row r="9" spans="1:7" ht="15.75">
      <c r="A9" s="490"/>
      <c r="B9" s="490"/>
      <c r="C9" s="490"/>
      <c r="D9" s="490"/>
      <c r="E9" s="490"/>
      <c r="F9" s="490"/>
      <c r="G9" s="490"/>
    </row>
    <row r="10" spans="1:7" ht="15.75">
      <c r="A10" s="493" t="s">
        <v>13</v>
      </c>
      <c r="B10" s="493" t="s">
        <v>14</v>
      </c>
      <c r="C10" s="493" t="s">
        <v>15</v>
      </c>
      <c r="D10" s="493" t="s">
        <v>16</v>
      </c>
      <c r="E10" s="494" t="s">
        <v>17</v>
      </c>
      <c r="F10" s="494"/>
      <c r="G10" s="494"/>
    </row>
    <row r="11" spans="1:7" ht="15.75">
      <c r="A11" s="493"/>
      <c r="B11" s="493"/>
      <c r="C11" s="493"/>
      <c r="D11" s="493"/>
      <c r="E11" s="494" t="s">
        <v>18</v>
      </c>
      <c r="F11" s="495" t="s">
        <v>19</v>
      </c>
      <c r="G11" s="495" t="s">
        <v>20</v>
      </c>
    </row>
    <row r="12" spans="1:7" ht="15.75">
      <c r="A12" s="517"/>
      <c r="B12" s="496">
        <v>1</v>
      </c>
      <c r="C12" s="497" t="s">
        <v>223</v>
      </c>
      <c r="D12" s="506"/>
      <c r="E12" s="507"/>
      <c r="F12" s="508"/>
      <c r="G12" s="500">
        <f>SUM(G13:G13)</f>
        <v>3850.97</v>
      </c>
    </row>
    <row r="13" spans="1:7" ht="31.5">
      <c r="A13" s="518">
        <v>93214</v>
      </c>
      <c r="B13" s="166" t="s">
        <v>22</v>
      </c>
      <c r="C13" s="231" t="s">
        <v>224</v>
      </c>
      <c r="D13" s="166" t="s">
        <v>109</v>
      </c>
      <c r="E13" s="509">
        <v>1</v>
      </c>
      <c r="F13" s="510">
        <v>3850.97</v>
      </c>
      <c r="G13" s="510">
        <f>ROUND(E13*F13,2)</f>
        <v>3850.97</v>
      </c>
    </row>
    <row r="14" spans="1:7" ht="15.75">
      <c r="A14" s="230"/>
      <c r="B14" s="230"/>
      <c r="C14" s="230"/>
      <c r="D14" s="230"/>
      <c r="E14" s="230"/>
      <c r="F14" s="230"/>
      <c r="G14" s="230"/>
    </row>
    <row r="15" spans="1:7" ht="15.75">
      <c r="A15" s="517"/>
      <c r="B15" s="496">
        <v>2</v>
      </c>
      <c r="C15" s="497" t="s">
        <v>225</v>
      </c>
      <c r="D15" s="506"/>
      <c r="E15" s="507"/>
      <c r="F15" s="508"/>
      <c r="G15" s="500">
        <f>G16</f>
        <v>415.03</v>
      </c>
    </row>
    <row r="16" spans="1:7" ht="31.5">
      <c r="A16" s="230" t="str">
        <f>'ANEXO PB IV Comp. auxiliares'!A107</f>
        <v>COMP. 18 - DPE</v>
      </c>
      <c r="B16" s="166" t="s">
        <v>28</v>
      </c>
      <c r="C16" s="231" t="s">
        <v>226</v>
      </c>
      <c r="D16" s="166" t="s">
        <v>109</v>
      </c>
      <c r="E16" s="519">
        <v>1</v>
      </c>
      <c r="F16" s="510">
        <f>'ANEXO PB IV Comp. auxiliares'!F107</f>
        <v>415.03</v>
      </c>
      <c r="G16" s="510">
        <f>ROUND(E16*F16,2)</f>
        <v>415.03</v>
      </c>
    </row>
    <row r="17" spans="1:7" ht="15.75">
      <c r="A17" s="230"/>
      <c r="B17" s="230"/>
      <c r="C17" s="230"/>
      <c r="D17" s="230"/>
      <c r="E17" s="230"/>
      <c r="F17" s="230"/>
      <c r="G17" s="230"/>
    </row>
    <row r="18" spans="1:7" ht="15.75">
      <c r="A18" s="517"/>
      <c r="B18" s="496">
        <v>3</v>
      </c>
      <c r="C18" s="497" t="s">
        <v>180</v>
      </c>
      <c r="D18" s="506"/>
      <c r="E18" s="507"/>
      <c r="F18" s="508"/>
      <c r="G18" s="500">
        <f>SUM(G19:G20)</f>
        <v>754.0899999999999</v>
      </c>
    </row>
    <row r="19" spans="1:7" ht="31.5">
      <c r="A19" s="230" t="str">
        <f>'ANEXO PB IV Comp. auxiliares'!A131</f>
        <v>COMP. 22 - DPE</v>
      </c>
      <c r="B19" s="166" t="s">
        <v>39</v>
      </c>
      <c r="C19" s="231" t="s">
        <v>227</v>
      </c>
      <c r="D19" s="166" t="s">
        <v>109</v>
      </c>
      <c r="E19" s="519">
        <v>1</v>
      </c>
      <c r="F19" s="510">
        <f>'ANEXO PB IV Comp. auxiliares'!F131</f>
        <v>511.65</v>
      </c>
      <c r="G19" s="510">
        <f>ROUND(E19*F19,2)</f>
        <v>511.65</v>
      </c>
    </row>
    <row r="20" spans="1:7" ht="15.75">
      <c r="A20" s="501">
        <v>4222</v>
      </c>
      <c r="B20" s="166" t="s">
        <v>45</v>
      </c>
      <c r="C20" s="468" t="s">
        <v>182</v>
      </c>
      <c r="D20" s="501" t="s">
        <v>183</v>
      </c>
      <c r="E20" s="512">
        <f>'ANEXO PB III Mem. de cálculo'!H574</f>
        <v>44</v>
      </c>
      <c r="F20" s="505">
        <v>5.51</v>
      </c>
      <c r="G20" s="505">
        <f>ROUND(E20*F20,2)</f>
        <v>242.44</v>
      </c>
    </row>
    <row r="21" spans="1:7" ht="15.75">
      <c r="A21" s="230"/>
      <c r="B21" s="230"/>
      <c r="C21" s="230"/>
      <c r="D21" s="230"/>
      <c r="E21" s="230"/>
      <c r="F21" s="230"/>
      <c r="G21" s="230"/>
    </row>
    <row r="22" spans="1:7" ht="15.75">
      <c r="A22" s="520" t="s">
        <v>142</v>
      </c>
      <c r="B22" s="521"/>
      <c r="C22" s="521"/>
      <c r="D22" s="521"/>
      <c r="E22" s="513"/>
      <c r="F22" s="514">
        <f>G12+G15+G18</f>
        <v>5020.09</v>
      </c>
      <c r="G22" s="514"/>
    </row>
    <row r="23" spans="1:7" ht="15.75">
      <c r="A23" s="522" t="s">
        <v>143</v>
      </c>
      <c r="B23" s="522"/>
      <c r="C23" s="522"/>
      <c r="D23" s="522"/>
      <c r="E23" s="523">
        <f>'ANEXO PB  VI CALCULO BDI'!F289</f>
        <v>0.2907</v>
      </c>
      <c r="F23" s="524">
        <f>ROUND(F22*(1+E23),2)</f>
        <v>6479.43</v>
      </c>
      <c r="G23" s="524"/>
    </row>
    <row r="24" spans="1:7" ht="15.75">
      <c r="A24" s="525"/>
      <c r="B24" s="525"/>
      <c r="C24" s="525"/>
      <c r="D24" s="525"/>
      <c r="E24" s="525"/>
      <c r="F24" s="525"/>
      <c r="G24" s="525"/>
    </row>
    <row r="25" spans="1:7" ht="24.75" customHeight="1">
      <c r="A25" s="526" t="str">
        <f>'ANEXO PB II São Luiz'!A36</f>
        <v>OBSERVAÇÕES: 1 - Os serviços de despesas indiretas da obra devem ser medidos e pagos conforme o pecentual de execução da obra e deve ser mostrado no boletim de medição.</v>
      </c>
      <c r="B25" s="526"/>
      <c r="C25" s="526"/>
      <c r="D25" s="526"/>
      <c r="E25" s="526"/>
      <c r="F25" s="526"/>
      <c r="G25" s="526"/>
    </row>
    <row r="26" spans="1:7" ht="24.75" customHeight="1">
      <c r="A26" s="526"/>
      <c r="B26" s="526"/>
      <c r="C26" s="526"/>
      <c r="D26" s="526"/>
      <c r="E26" s="526"/>
      <c r="F26" s="526"/>
      <c r="G26" s="526"/>
    </row>
    <row r="27" spans="1:7" ht="15.75">
      <c r="A27" s="527"/>
      <c r="B27" s="528"/>
      <c r="C27" s="529"/>
      <c r="D27" s="362"/>
      <c r="E27" s="530"/>
      <c r="F27" s="531"/>
      <c r="G27" s="531"/>
    </row>
    <row r="28" spans="1:7" ht="15.75">
      <c r="A28" s="527"/>
      <c r="B28" s="528"/>
      <c r="C28" s="529"/>
      <c r="D28" s="362"/>
      <c r="E28" s="530"/>
      <c r="F28" s="531"/>
      <c r="G28" s="531"/>
    </row>
    <row r="29" spans="1:7" ht="15.75">
      <c r="A29" s="527"/>
      <c r="B29" s="528"/>
      <c r="C29" s="529"/>
      <c r="D29" s="362"/>
      <c r="E29" s="530"/>
      <c r="F29" s="531"/>
      <c r="G29" s="531"/>
    </row>
  </sheetData>
  <sheetProtection/>
  <mergeCells count="22">
    <mergeCell ref="A1:G1"/>
    <mergeCell ref="A2:G2"/>
    <mergeCell ref="A3:G3"/>
    <mergeCell ref="A4:G4"/>
    <mergeCell ref="A5:G5"/>
    <mergeCell ref="A6:G6"/>
    <mergeCell ref="A9:G9"/>
    <mergeCell ref="E10:G10"/>
    <mergeCell ref="A14:G14"/>
    <mergeCell ref="A17:G17"/>
    <mergeCell ref="A21:G21"/>
    <mergeCell ref="A22:E22"/>
    <mergeCell ref="F22:G22"/>
    <mergeCell ref="A23:D23"/>
    <mergeCell ref="F23:G23"/>
    <mergeCell ref="A24:G24"/>
    <mergeCell ref="A10:A11"/>
    <mergeCell ref="B10:B11"/>
    <mergeCell ref="C10:C11"/>
    <mergeCell ref="D10:D11"/>
    <mergeCell ref="A7:E8"/>
    <mergeCell ref="A25:G26"/>
  </mergeCells>
  <printOptions/>
  <pageMargins left="1.18" right="0.79" top="1.18" bottom="0.79" header="0" footer="0.51"/>
  <pageSetup horizontalDpi="600" verticalDpi="600" orientation="portrait" paperSize="9" scale="61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15" zoomScaleSheetLayoutView="115" workbookViewId="0" topLeftCell="A1">
      <selection activeCell="E11" sqref="E11"/>
    </sheetView>
  </sheetViews>
  <sheetFormatPr defaultColWidth="9.140625" defaultRowHeight="12.75" outlineLevelRow="1"/>
  <cols>
    <col min="1" max="1" width="14.8515625" style="86" customWidth="1"/>
    <col min="2" max="2" width="5.57421875" style="86" customWidth="1"/>
    <col min="3" max="3" width="68.57421875" style="86" customWidth="1"/>
    <col min="4" max="4" width="5.140625" style="86" customWidth="1"/>
    <col min="5" max="5" width="8.421875" style="86" customWidth="1"/>
    <col min="6" max="6" width="9.140625" style="86" customWidth="1"/>
    <col min="7" max="7" width="9.57421875" style="86" customWidth="1"/>
  </cols>
  <sheetData>
    <row r="1" spans="1:7" ht="15.75">
      <c r="A1" s="489" t="str">
        <f>'ANEXO PB II Pacaraima'!A1</f>
        <v>ANEXO PB II - PLANILHA DE ORÇAMENTO - SINTÉTICO</v>
      </c>
      <c r="B1" s="489"/>
      <c r="C1" s="489"/>
      <c r="D1" s="489"/>
      <c r="E1" s="489"/>
      <c r="F1" s="489"/>
      <c r="G1" s="489"/>
    </row>
    <row r="2" spans="1:7" ht="15.75">
      <c r="A2" s="490"/>
      <c r="B2" s="490"/>
      <c r="C2" s="490"/>
      <c r="D2" s="490"/>
      <c r="E2" s="490"/>
      <c r="F2" s="490"/>
      <c r="G2" s="490"/>
    </row>
    <row r="3" spans="1:7" ht="33.75" customHeight="1">
      <c r="A3" s="455" t="str">
        <f>'ANEXO PB II Pacaraima'!A3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90"/>
      <c r="B4" s="490"/>
      <c r="C4" s="490"/>
      <c r="D4" s="490"/>
      <c r="E4" s="490"/>
      <c r="F4" s="490"/>
      <c r="G4" s="490"/>
    </row>
    <row r="5" spans="1:7" ht="15.75">
      <c r="A5" s="489" t="s">
        <v>228</v>
      </c>
      <c r="B5" s="489"/>
      <c r="C5" s="489"/>
      <c r="D5" s="489"/>
      <c r="E5" s="489"/>
      <c r="F5" s="489"/>
      <c r="G5" s="489"/>
    </row>
    <row r="6" spans="1:7" ht="15.75">
      <c r="A6" s="490"/>
      <c r="B6" s="490"/>
      <c r="C6" s="490"/>
      <c r="D6" s="490"/>
      <c r="E6" s="490"/>
      <c r="F6" s="490"/>
      <c r="G6" s="490"/>
    </row>
    <row r="7" spans="1:7" ht="15.75">
      <c r="A7" s="489" t="s">
        <v>9</v>
      </c>
      <c r="B7" s="489"/>
      <c r="C7" s="489"/>
      <c r="D7" s="489"/>
      <c r="E7" s="489"/>
      <c r="F7" s="491" t="s">
        <v>10</v>
      </c>
      <c r="G7" s="489" t="s">
        <v>229</v>
      </c>
    </row>
    <row r="8" spans="1:7" ht="15.75">
      <c r="A8" s="489"/>
      <c r="B8" s="489"/>
      <c r="C8" s="489"/>
      <c r="D8" s="489"/>
      <c r="E8" s="489"/>
      <c r="F8" s="491" t="s">
        <v>12</v>
      </c>
      <c r="G8" s="492">
        <f>'ANEXO PB  VI CALCULO BDI'!F337</f>
        <v>0.2907</v>
      </c>
    </row>
    <row r="9" spans="1:7" ht="15.75">
      <c r="A9" s="490"/>
      <c r="B9" s="490"/>
      <c r="C9" s="490"/>
      <c r="D9" s="490"/>
      <c r="E9" s="490"/>
      <c r="F9" s="490"/>
      <c r="G9" s="490"/>
    </row>
    <row r="10" spans="1:7" s="450" customFormat="1" ht="15.75">
      <c r="A10" s="493" t="s">
        <v>13</v>
      </c>
      <c r="B10" s="493" t="s">
        <v>14</v>
      </c>
      <c r="C10" s="493" t="s">
        <v>15</v>
      </c>
      <c r="D10" s="493" t="s">
        <v>16</v>
      </c>
      <c r="E10" s="494" t="s">
        <v>17</v>
      </c>
      <c r="F10" s="494"/>
      <c r="G10" s="494"/>
    </row>
    <row r="11" spans="1:7" s="450" customFormat="1" ht="15.75">
      <c r="A11" s="493"/>
      <c r="B11" s="493"/>
      <c r="C11" s="493"/>
      <c r="D11" s="493"/>
      <c r="E11" s="494" t="s">
        <v>18</v>
      </c>
      <c r="F11" s="495" t="s">
        <v>19</v>
      </c>
      <c r="G11" s="495" t="s">
        <v>20</v>
      </c>
    </row>
    <row r="12" spans="1:7" s="450" customFormat="1" ht="15.75">
      <c r="A12" s="496"/>
      <c r="B12" s="496">
        <v>1</v>
      </c>
      <c r="C12" s="497" t="s">
        <v>38</v>
      </c>
      <c r="D12" s="496"/>
      <c r="E12" s="498"/>
      <c r="F12" s="499"/>
      <c r="G12" s="500">
        <f>SUM(G13:G25)</f>
        <v>5173.549999999999</v>
      </c>
    </row>
    <row r="13" spans="1:7" ht="15.75">
      <c r="A13" s="501"/>
      <c r="B13" s="502" t="s">
        <v>22</v>
      </c>
      <c r="C13" s="503" t="s">
        <v>230</v>
      </c>
      <c r="D13" s="501"/>
      <c r="E13" s="504"/>
      <c r="F13" s="505"/>
      <c r="G13" s="505"/>
    </row>
    <row r="14" spans="1:7" ht="31.5">
      <c r="A14" s="501" t="str">
        <f>'ANEXO PB IV Comp. auxiliares'!A6</f>
        <v>COMP. 01 - DPE</v>
      </c>
      <c r="B14" s="501" t="s">
        <v>149</v>
      </c>
      <c r="C14" s="468" t="s">
        <v>42</v>
      </c>
      <c r="D14" s="501" t="s">
        <v>24</v>
      </c>
      <c r="E14" s="504">
        <f>'ANEXO PB III Mem. de cálculo'!H591</f>
        <v>145.60260000000002</v>
      </c>
      <c r="F14" s="505">
        <f>'ANEXO PB IV Comp. auxiliares'!F6</f>
        <v>1.5499999999999998</v>
      </c>
      <c r="G14" s="505">
        <f>ROUND(E14*F14,2)</f>
        <v>225.68</v>
      </c>
    </row>
    <row r="15" spans="1:7" ht="31.5">
      <c r="A15" s="501">
        <v>88489</v>
      </c>
      <c r="B15" s="501" t="s">
        <v>151</v>
      </c>
      <c r="C15" s="468" t="s">
        <v>44</v>
      </c>
      <c r="D15" s="501" t="s">
        <v>24</v>
      </c>
      <c r="E15" s="504">
        <f>E14</f>
        <v>145.60260000000002</v>
      </c>
      <c r="F15" s="505">
        <v>10.14</v>
      </c>
      <c r="G15" s="505">
        <f>ROUND(E15*F15,2)</f>
        <v>1476.41</v>
      </c>
    </row>
    <row r="16" spans="1:7" ht="15.75">
      <c r="A16" s="501"/>
      <c r="B16" s="501"/>
      <c r="C16" s="501"/>
      <c r="D16" s="501"/>
      <c r="E16" s="501"/>
      <c r="F16" s="501"/>
      <c r="G16" s="501"/>
    </row>
    <row r="17" spans="1:7" ht="15.75">
      <c r="A17" s="501"/>
      <c r="B17" s="502" t="s">
        <v>25</v>
      </c>
      <c r="C17" s="503" t="s">
        <v>231</v>
      </c>
      <c r="D17" s="501"/>
      <c r="E17" s="504"/>
      <c r="F17" s="504"/>
      <c r="G17" s="505"/>
    </row>
    <row r="18" spans="1:7" ht="31.5">
      <c r="A18" s="501" t="str">
        <f>'ANEXO PB IV Comp. auxiliares'!A6</f>
        <v>COMP. 01 - DPE</v>
      </c>
      <c r="B18" s="501" t="s">
        <v>156</v>
      </c>
      <c r="C18" s="468" t="s">
        <v>42</v>
      </c>
      <c r="D18" s="501" t="s">
        <v>24</v>
      </c>
      <c r="E18" s="504">
        <f>'ANEXO PB III Mem. de cálculo'!H631</f>
        <v>223.4778</v>
      </c>
      <c r="F18" s="505">
        <f>'ANEXO PB IV Comp. auxiliares'!F6</f>
        <v>1.5499999999999998</v>
      </c>
      <c r="G18" s="505">
        <f>ROUND(E18*F18,2)</f>
        <v>346.39</v>
      </c>
    </row>
    <row r="19" spans="1:7" ht="31.5">
      <c r="A19" s="501">
        <v>88489</v>
      </c>
      <c r="B19" s="501" t="s">
        <v>232</v>
      </c>
      <c r="C19" s="468" t="s">
        <v>44</v>
      </c>
      <c r="D19" s="501" t="s">
        <v>24</v>
      </c>
      <c r="E19" s="504">
        <f>E18</f>
        <v>223.4778</v>
      </c>
      <c r="F19" s="505">
        <v>10.14</v>
      </c>
      <c r="G19" s="505">
        <f>ROUND(E19*F19,2)</f>
        <v>2266.06</v>
      </c>
    </row>
    <row r="20" spans="1:7" ht="15.75">
      <c r="A20" s="501">
        <v>37777</v>
      </c>
      <c r="B20" s="501" t="s">
        <v>233</v>
      </c>
      <c r="C20" s="468" t="s">
        <v>234</v>
      </c>
      <c r="D20" s="501" t="s">
        <v>24</v>
      </c>
      <c r="E20" s="504">
        <v>69.136</v>
      </c>
      <c r="F20" s="505">
        <v>1.53</v>
      </c>
      <c r="G20" s="505">
        <f>ROUND(E20*F20,2)</f>
        <v>105.78</v>
      </c>
    </row>
    <row r="21" spans="1:7" ht="15.75">
      <c r="A21" s="501"/>
      <c r="B21" s="501"/>
      <c r="C21" s="501"/>
      <c r="D21" s="501"/>
      <c r="E21" s="501"/>
      <c r="F21" s="501"/>
      <c r="G21" s="501"/>
    </row>
    <row r="22" spans="1:7" ht="15.75">
      <c r="A22" s="501"/>
      <c r="B22" s="502" t="s">
        <v>206</v>
      </c>
      <c r="C22" s="503" t="s">
        <v>193</v>
      </c>
      <c r="D22" s="501"/>
      <c r="E22" s="504"/>
      <c r="F22" s="504"/>
      <c r="G22" s="505"/>
    </row>
    <row r="23" spans="1:7" ht="15.75">
      <c r="A23" s="501">
        <v>100717</v>
      </c>
      <c r="B23" s="501" t="s">
        <v>235</v>
      </c>
      <c r="C23" s="468" t="s">
        <v>66</v>
      </c>
      <c r="D23" s="501" t="s">
        <v>24</v>
      </c>
      <c r="E23" s="504">
        <f>'ANEXO PB III Mem. de cálculo'!H641</f>
        <v>12.959999999999999</v>
      </c>
      <c r="F23" s="505">
        <v>6.96</v>
      </c>
      <c r="G23" s="505">
        <f>ROUND(E23*F23,2)</f>
        <v>90.2</v>
      </c>
    </row>
    <row r="24" spans="1:7" ht="31.5">
      <c r="A24" s="501">
        <v>100722</v>
      </c>
      <c r="B24" s="501" t="s">
        <v>236</v>
      </c>
      <c r="C24" s="468" t="s">
        <v>166</v>
      </c>
      <c r="D24" s="501" t="s">
        <v>24</v>
      </c>
      <c r="E24" s="504">
        <f>E23</f>
        <v>12.959999999999999</v>
      </c>
      <c r="F24" s="505">
        <v>16.91</v>
      </c>
      <c r="G24" s="505">
        <f>ROUND(E24*F24,2)</f>
        <v>219.15</v>
      </c>
    </row>
    <row r="25" spans="1:7" ht="47.25">
      <c r="A25" s="501">
        <v>100760</v>
      </c>
      <c r="B25" s="501" t="s">
        <v>237</v>
      </c>
      <c r="C25" s="468" t="s">
        <v>68</v>
      </c>
      <c r="D25" s="501" t="s">
        <v>24</v>
      </c>
      <c r="E25" s="504">
        <f>E24</f>
        <v>12.959999999999999</v>
      </c>
      <c r="F25" s="505">
        <v>34.25</v>
      </c>
      <c r="G25" s="505">
        <f>ROUND(E25*F25,2)</f>
        <v>443.88</v>
      </c>
    </row>
    <row r="26" spans="1:7" ht="15.75">
      <c r="A26" s="501"/>
      <c r="B26" s="501"/>
      <c r="C26" s="501"/>
      <c r="D26" s="501"/>
      <c r="E26" s="501"/>
      <c r="F26" s="501"/>
      <c r="G26" s="501"/>
    </row>
    <row r="27" spans="1:7" ht="15.75">
      <c r="A27" s="506"/>
      <c r="B27" s="496">
        <v>2</v>
      </c>
      <c r="C27" s="497" t="s">
        <v>238</v>
      </c>
      <c r="D27" s="506"/>
      <c r="E27" s="507"/>
      <c r="F27" s="508"/>
      <c r="G27" s="500">
        <f>SUM(G28)</f>
        <v>108.2</v>
      </c>
    </row>
    <row r="28" spans="1:8" s="488" customFormat="1" ht="15.75" outlineLevel="1">
      <c r="A28" s="230" t="str">
        <f>'ANEXO PB IV Comp. auxiliares'!A41</f>
        <v>COMP. 07  DPE</v>
      </c>
      <c r="B28" s="166" t="s">
        <v>28</v>
      </c>
      <c r="C28" s="231" t="s">
        <v>131</v>
      </c>
      <c r="D28" s="166" t="s">
        <v>24</v>
      </c>
      <c r="E28" s="509">
        <f>'ANEXO PB III Mem. de cálculo'!H646</f>
        <v>0.6</v>
      </c>
      <c r="F28" s="510">
        <f>'ANEXO PB IV Comp. auxiliares'!F41</f>
        <v>180.3317</v>
      </c>
      <c r="G28" s="505">
        <f>ROUND(E28*F28,2)</f>
        <v>108.2</v>
      </c>
      <c r="H28" s="511"/>
    </row>
    <row r="29" spans="1:7" ht="15.75">
      <c r="A29" s="501"/>
      <c r="B29" s="501"/>
      <c r="C29" s="501"/>
      <c r="D29" s="501"/>
      <c r="E29" s="501"/>
      <c r="F29" s="501"/>
      <c r="G29" s="501"/>
    </row>
    <row r="30" spans="1:7" ht="15.75">
      <c r="A30" s="506"/>
      <c r="B30" s="496">
        <v>3</v>
      </c>
      <c r="C30" s="497" t="s">
        <v>178</v>
      </c>
      <c r="D30" s="506"/>
      <c r="E30" s="507"/>
      <c r="F30" s="508"/>
      <c r="G30" s="500">
        <f>SUM(G31)</f>
        <v>64.42</v>
      </c>
    </row>
    <row r="31" spans="1:7" ht="15.75">
      <c r="A31" s="501" t="str">
        <f>'ANEXO PB IV Comp. auxiliares'!A85</f>
        <v>COMP. 14  DPE</v>
      </c>
      <c r="B31" s="501" t="s">
        <v>39</v>
      </c>
      <c r="C31" s="468" t="s">
        <v>179</v>
      </c>
      <c r="D31" s="501" t="s">
        <v>16</v>
      </c>
      <c r="E31" s="512">
        <v>1</v>
      </c>
      <c r="F31" s="505">
        <f>'ANEXO PB IV Comp. auxiliares'!F85</f>
        <v>64.42</v>
      </c>
      <c r="G31" s="505">
        <f>E31*F31</f>
        <v>64.42</v>
      </c>
    </row>
    <row r="32" spans="1:7" ht="15.75">
      <c r="A32" s="501"/>
      <c r="B32" s="501"/>
      <c r="C32" s="501"/>
      <c r="D32" s="501"/>
      <c r="E32" s="501"/>
      <c r="F32" s="501"/>
      <c r="G32" s="501"/>
    </row>
    <row r="33" spans="1:7" ht="15.75">
      <c r="A33" s="506"/>
      <c r="B33" s="496">
        <v>4</v>
      </c>
      <c r="C33" s="497" t="s">
        <v>180</v>
      </c>
      <c r="D33" s="506"/>
      <c r="E33" s="507"/>
      <c r="F33" s="508"/>
      <c r="G33" s="500">
        <f>SUM(G34:G35)</f>
        <v>417.42999999999995</v>
      </c>
    </row>
    <row r="34" spans="1:7" ht="31.5">
      <c r="A34" s="501" t="str">
        <f>'ANEXO PB IV Comp. auxiliares'!A136</f>
        <v>COMP. 23 - DPE</v>
      </c>
      <c r="B34" s="501" t="s">
        <v>98</v>
      </c>
      <c r="C34" s="468" t="s">
        <v>239</v>
      </c>
      <c r="D34" s="501" t="s">
        <v>109</v>
      </c>
      <c r="E34" s="512">
        <v>1</v>
      </c>
      <c r="F34" s="505">
        <f>'ANEXO PB IV Comp. auxiliares'!F136</f>
        <v>89.03</v>
      </c>
      <c r="G34" s="505">
        <f>ROUND(E34*F34,2)</f>
        <v>89.03</v>
      </c>
    </row>
    <row r="35" spans="1:7" ht="15.75">
      <c r="A35" s="501">
        <v>4222</v>
      </c>
      <c r="B35" s="501" t="s">
        <v>102</v>
      </c>
      <c r="C35" s="468" t="s">
        <v>182</v>
      </c>
      <c r="D35" s="501" t="s">
        <v>183</v>
      </c>
      <c r="E35" s="512">
        <f>'ANEXO PB III Mem. de cálculo'!H668</f>
        <v>59.6</v>
      </c>
      <c r="F35" s="505">
        <v>5.51</v>
      </c>
      <c r="G35" s="505">
        <f>ROUND(E35*F35,2)</f>
        <v>328.4</v>
      </c>
    </row>
    <row r="36" spans="1:7" ht="15.75">
      <c r="A36" s="501"/>
      <c r="B36" s="501"/>
      <c r="C36" s="501"/>
      <c r="D36" s="501"/>
      <c r="E36" s="501"/>
      <c r="F36" s="501"/>
      <c r="G36" s="501"/>
    </row>
    <row r="37" spans="1:7" ht="15.75">
      <c r="A37" s="513" t="s">
        <v>142</v>
      </c>
      <c r="B37" s="513"/>
      <c r="C37" s="513"/>
      <c r="D37" s="513"/>
      <c r="E37" s="513"/>
      <c r="F37" s="514">
        <f>G12+G27+G30+G33</f>
        <v>5763.599999999999</v>
      </c>
      <c r="G37" s="514"/>
    </row>
    <row r="38" spans="1:7" ht="15.75">
      <c r="A38" s="513" t="s">
        <v>143</v>
      </c>
      <c r="B38" s="513"/>
      <c r="C38" s="513"/>
      <c r="D38" s="513"/>
      <c r="E38" s="515">
        <f>'ANEXO PB  VI CALCULO BDI'!F337</f>
        <v>0.2907</v>
      </c>
      <c r="F38" s="514">
        <f>ROUND(F37*(1+E38),2)</f>
        <v>7439.08</v>
      </c>
      <c r="G38" s="514"/>
    </row>
    <row r="39" spans="1:7" ht="15.75">
      <c r="A39" s="516"/>
      <c r="B39" s="516"/>
      <c r="C39" s="516"/>
      <c r="D39" s="516"/>
      <c r="E39" s="516"/>
      <c r="F39" s="516"/>
      <c r="G39" s="516"/>
    </row>
    <row r="40" spans="1:7" ht="24.75" customHeight="1">
      <c r="A40" s="486" t="str">
        <f>'ANEXO PB II Pacaraima'!A25</f>
        <v>OBSERVAÇÕES: 1 - Os serviços de despesas indiretas da obra devem ser medidos e pagos conforme o pecentual de execução da obra e deve ser mostrado no boletim de medição.</v>
      </c>
      <c r="B40" s="486"/>
      <c r="C40" s="486"/>
      <c r="D40" s="486"/>
      <c r="E40" s="486"/>
      <c r="F40" s="486"/>
      <c r="G40" s="486"/>
    </row>
    <row r="41" spans="1:7" ht="24.75" customHeight="1">
      <c r="A41" s="487"/>
      <c r="B41" s="487"/>
      <c r="C41" s="487"/>
      <c r="D41" s="487"/>
      <c r="E41" s="487"/>
      <c r="F41" s="487"/>
      <c r="G41" s="487"/>
    </row>
  </sheetData>
  <sheetProtection/>
  <mergeCells count="25">
    <mergeCell ref="A1:G1"/>
    <mergeCell ref="A2:G2"/>
    <mergeCell ref="A3:G3"/>
    <mergeCell ref="A4:G4"/>
    <mergeCell ref="A5:G5"/>
    <mergeCell ref="A6:G6"/>
    <mergeCell ref="A9:G9"/>
    <mergeCell ref="E10:G10"/>
    <mergeCell ref="A16:G16"/>
    <mergeCell ref="A21:G21"/>
    <mergeCell ref="A26:G26"/>
    <mergeCell ref="A29:G29"/>
    <mergeCell ref="A32:G32"/>
    <mergeCell ref="A36:G36"/>
    <mergeCell ref="A37:E37"/>
    <mergeCell ref="F37:G37"/>
    <mergeCell ref="A38:D38"/>
    <mergeCell ref="F38:G38"/>
    <mergeCell ref="A39:G39"/>
    <mergeCell ref="A10:A11"/>
    <mergeCell ref="B10:B11"/>
    <mergeCell ref="C10:C11"/>
    <mergeCell ref="D10:D11"/>
    <mergeCell ref="A7:E8"/>
    <mergeCell ref="A40:G41"/>
  </mergeCells>
  <conditionalFormatting sqref="H28">
    <cfRule type="cellIs" priority="1" dxfId="0" operator="lessThan" stopIfTrue="1">
      <formula>0</formula>
    </cfRule>
  </conditionalFormatting>
  <printOptions/>
  <pageMargins left="1.18" right="0.79" top="1.18" bottom="0.79" header="0" footer="0.51"/>
  <pageSetup horizontalDpi="600" verticalDpi="600" orientation="portrait" paperSize="9" scale="62"/>
  <headerFooter>
    <oddHeader>&amp;C&amp;"-"&amp;12&amp;G
DEFENSORIA PÚBLICA DO ESTADO DE RORAIMA
“Amazônia: Patrimônio dos brasileiros”
Seção de Engenharia, Projetos, Fiscalização de Obras e Manutenção Predial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A25" sqref="A25:E25"/>
    </sheetView>
  </sheetViews>
  <sheetFormatPr defaultColWidth="9.140625" defaultRowHeight="12.75"/>
  <cols>
    <col min="1" max="1" width="16.421875" style="451" customWidth="1"/>
    <col min="2" max="2" width="9.140625" style="451" customWidth="1"/>
    <col min="3" max="3" width="82.8515625" style="451" customWidth="1"/>
    <col min="4" max="4" width="6.421875" style="451" customWidth="1"/>
    <col min="5" max="5" width="9.28125" style="452" customWidth="1"/>
    <col min="6" max="6" width="10.57421875" style="452" customWidth="1"/>
    <col min="7" max="7" width="10.28125" style="452" customWidth="1"/>
  </cols>
  <sheetData>
    <row r="1" spans="1:7" ht="15.75">
      <c r="A1" s="453" t="str">
        <f>'ANEXO PB II RORAINÓPILS'!A1</f>
        <v>ANEXO PB II - PLANILHA DE ORÇAMENTO - SINTÉTICO</v>
      </c>
      <c r="B1" s="453"/>
      <c r="C1" s="453"/>
      <c r="D1" s="453"/>
      <c r="E1" s="453"/>
      <c r="F1" s="453"/>
      <c r="G1" s="453"/>
    </row>
    <row r="2" spans="1:7" ht="15.75">
      <c r="A2" s="454"/>
      <c r="B2" s="454"/>
      <c r="C2" s="454"/>
      <c r="D2" s="454"/>
      <c r="E2" s="454"/>
      <c r="F2" s="454"/>
      <c r="G2" s="454"/>
    </row>
    <row r="3" spans="1:7" ht="33.75" customHeight="1">
      <c r="A3" s="455" t="str">
        <f>'ANEXO PB II RORAINÓPILS'!A3</f>
        <v>OBRA: CONTRATAÇÃO DE EMPRESA PARA RECUPERAÇÃO DOS PRÉDIOS DA DEFENSORIA PÚBLICA DO ESTADO DE RORAIMA NA CAPITAL E NOS MUNICÍPIO DO INTERIOR</v>
      </c>
      <c r="B3" s="456"/>
      <c r="C3" s="456"/>
      <c r="D3" s="456"/>
      <c r="E3" s="456"/>
      <c r="F3" s="456"/>
      <c r="G3" s="457"/>
    </row>
    <row r="4" spans="1:7" ht="15.75">
      <c r="A4" s="454"/>
      <c r="B4" s="454"/>
      <c r="C4" s="454"/>
      <c r="D4" s="454"/>
      <c r="E4" s="454"/>
      <c r="F4" s="454"/>
      <c r="G4" s="454"/>
    </row>
    <row r="5" spans="1:7" ht="15.75">
      <c r="A5" s="453" t="s">
        <v>240</v>
      </c>
      <c r="B5" s="453"/>
      <c r="C5" s="453"/>
      <c r="D5" s="453"/>
      <c r="E5" s="453"/>
      <c r="F5" s="453"/>
      <c r="G5" s="453"/>
    </row>
    <row r="6" spans="1:7" ht="15.75">
      <c r="A6" s="454"/>
      <c r="B6" s="454"/>
      <c r="C6" s="454"/>
      <c r="D6" s="454"/>
      <c r="E6" s="454"/>
      <c r="F6" s="454"/>
      <c r="G6" s="454"/>
    </row>
    <row r="7" spans="1:7" ht="15.75">
      <c r="A7" s="453" t="s">
        <v>9</v>
      </c>
      <c r="B7" s="453"/>
      <c r="C7" s="453"/>
      <c r="D7" s="453"/>
      <c r="E7" s="453"/>
      <c r="F7" s="453" t="s">
        <v>10</v>
      </c>
      <c r="G7" s="453" t="s">
        <v>241</v>
      </c>
    </row>
    <row r="8" spans="1:7" ht="15.75">
      <c r="A8" s="453"/>
      <c r="B8" s="453"/>
      <c r="C8" s="453"/>
      <c r="D8" s="453"/>
      <c r="E8" s="453"/>
      <c r="F8" s="453" t="s">
        <v>12</v>
      </c>
      <c r="G8" s="458">
        <f>'ANEXO PB  VI CALCULO BDI'!F241</f>
        <v>0.2907</v>
      </c>
    </row>
    <row r="9" spans="1:7" ht="15.75">
      <c r="A9" s="454"/>
      <c r="B9" s="454"/>
      <c r="C9" s="454"/>
      <c r="D9" s="454"/>
      <c r="E9" s="454"/>
      <c r="F9" s="454"/>
      <c r="G9" s="454"/>
    </row>
    <row r="10" spans="1:7" s="450" customFormat="1" ht="15.75">
      <c r="A10" s="459" t="s">
        <v>13</v>
      </c>
      <c r="B10" s="459" t="s">
        <v>14</v>
      </c>
      <c r="C10" s="459" t="s">
        <v>15</v>
      </c>
      <c r="D10" s="459" t="s">
        <v>16</v>
      </c>
      <c r="E10" s="460" t="s">
        <v>17</v>
      </c>
      <c r="F10" s="460"/>
      <c r="G10" s="460"/>
    </row>
    <row r="11" spans="1:7" s="450" customFormat="1" ht="15.75">
      <c r="A11" s="459"/>
      <c r="B11" s="459"/>
      <c r="C11" s="459"/>
      <c r="D11" s="459"/>
      <c r="E11" s="460" t="s">
        <v>18</v>
      </c>
      <c r="F11" s="461" t="s">
        <v>19</v>
      </c>
      <c r="G11" s="461" t="s">
        <v>20</v>
      </c>
    </row>
    <row r="12" spans="1:7" s="450" customFormat="1" ht="15.75">
      <c r="A12" s="462"/>
      <c r="B12" s="462">
        <v>1</v>
      </c>
      <c r="C12" s="463" t="s">
        <v>200</v>
      </c>
      <c r="D12" s="462"/>
      <c r="E12" s="464"/>
      <c r="F12" s="465"/>
      <c r="G12" s="466">
        <f>G13</f>
        <v>95.21</v>
      </c>
    </row>
    <row r="13" spans="1:7" ht="31.5">
      <c r="A13" s="467">
        <v>95676</v>
      </c>
      <c r="B13" s="467" t="s">
        <v>22</v>
      </c>
      <c r="C13" s="468" t="s">
        <v>201</v>
      </c>
      <c r="D13" s="467" t="s">
        <v>16</v>
      </c>
      <c r="E13" s="469">
        <v>1</v>
      </c>
      <c r="F13" s="470">
        <v>95.21</v>
      </c>
      <c r="G13" s="470">
        <f>E13*F13</f>
        <v>95.21</v>
      </c>
    </row>
    <row r="14" spans="1:7" ht="15.75">
      <c r="A14" s="467"/>
      <c r="B14" s="467"/>
      <c r="C14" s="467"/>
      <c r="D14" s="467"/>
      <c r="E14" s="467"/>
      <c r="F14" s="467"/>
      <c r="G14" s="467"/>
    </row>
    <row r="15" spans="1:7" ht="15.75">
      <c r="A15" s="471"/>
      <c r="B15" s="462">
        <v>2</v>
      </c>
      <c r="C15" s="463" t="s">
        <v>178</v>
      </c>
      <c r="D15" s="471"/>
      <c r="E15" s="472"/>
      <c r="F15" s="473"/>
      <c r="G15" s="466">
        <f>SUM(G16)</f>
        <v>64.42</v>
      </c>
    </row>
    <row r="16" spans="1:7" ht="15.75">
      <c r="A16" s="467" t="str">
        <f>'ANEXO PB IV Comp. auxiliares'!A85</f>
        <v>COMP. 14  DPE</v>
      </c>
      <c r="B16" s="467" t="s">
        <v>28</v>
      </c>
      <c r="C16" s="474" t="s">
        <v>179</v>
      </c>
      <c r="D16" s="467" t="s">
        <v>16</v>
      </c>
      <c r="E16" s="475">
        <v>1</v>
      </c>
      <c r="F16" s="470">
        <f>'ANEXO PB IV Comp. auxiliares'!F85</f>
        <v>64.42</v>
      </c>
      <c r="G16" s="470">
        <f>E16*F16</f>
        <v>64.42</v>
      </c>
    </row>
    <row r="17" spans="1:7" ht="15.75">
      <c r="A17" s="467"/>
      <c r="B17" s="467"/>
      <c r="C17" s="467"/>
      <c r="D17" s="467"/>
      <c r="E17" s="467"/>
      <c r="F17" s="467"/>
      <c r="G17" s="467"/>
    </row>
    <row r="18" spans="1:7" ht="15.75">
      <c r="A18" s="471"/>
      <c r="B18" s="462">
        <v>3</v>
      </c>
      <c r="C18" s="463" t="s">
        <v>127</v>
      </c>
      <c r="D18" s="471"/>
      <c r="E18" s="472"/>
      <c r="F18" s="473"/>
      <c r="G18" s="466">
        <f>SUM(G19:G20)</f>
        <v>258.58000000000004</v>
      </c>
    </row>
    <row r="19" spans="1:7" ht="15.75">
      <c r="A19" s="476">
        <v>61148</v>
      </c>
      <c r="B19" s="477" t="s">
        <v>39</v>
      </c>
      <c r="C19" s="478" t="s">
        <v>242</v>
      </c>
      <c r="D19" s="477" t="s">
        <v>243</v>
      </c>
      <c r="E19" s="479">
        <v>1</v>
      </c>
      <c r="F19" s="480">
        <v>7.25</v>
      </c>
      <c r="G19" s="470">
        <f>ROUND(E19*F19,2)</f>
        <v>7.25</v>
      </c>
    </row>
    <row r="20" spans="1:7" ht="31.5">
      <c r="A20" s="476">
        <v>98107</v>
      </c>
      <c r="B20" s="477" t="s">
        <v>45</v>
      </c>
      <c r="C20" s="231" t="s">
        <v>244</v>
      </c>
      <c r="D20" s="477" t="s">
        <v>243</v>
      </c>
      <c r="E20" s="479">
        <v>1</v>
      </c>
      <c r="F20" s="480">
        <v>251.33</v>
      </c>
      <c r="G20" s="470">
        <f>ROUND(E20*F20,2)</f>
        <v>251.33</v>
      </c>
    </row>
    <row r="21" spans="1:7" ht="15.75">
      <c r="A21" s="467"/>
      <c r="B21" s="467"/>
      <c r="C21" s="467"/>
      <c r="D21" s="467"/>
      <c r="E21" s="467"/>
      <c r="F21" s="467"/>
      <c r="G21" s="467"/>
    </row>
    <row r="22" spans="1:7" ht="15.75">
      <c r="A22" s="471"/>
      <c r="B22" s="462">
        <v>4</v>
      </c>
      <c r="C22" s="463" t="s">
        <v>180</v>
      </c>
      <c r="D22" s="471"/>
      <c r="E22" s="472"/>
      <c r="F22" s="473"/>
      <c r="G22" s="466">
        <f>SUM(G23:G23)</f>
        <v>55.1</v>
      </c>
    </row>
    <row r="23" spans="1:7" ht="15.75">
      <c r="A23" s="467">
        <v>4222</v>
      </c>
      <c r="B23" s="467" t="s">
        <v>98</v>
      </c>
      <c r="C23" s="474" t="s">
        <v>182</v>
      </c>
      <c r="D23" s="467" t="s">
        <v>183</v>
      </c>
      <c r="E23" s="475">
        <f>'ANEXO PB III Mem. de cálculo'!H687</f>
        <v>10</v>
      </c>
      <c r="F23" s="470">
        <v>5.51</v>
      </c>
      <c r="G23" s="470">
        <f>ROUND(E23*F23,2)</f>
        <v>55.1</v>
      </c>
    </row>
    <row r="24" spans="1:7" ht="15.75">
      <c r="A24" s="467"/>
      <c r="B24" s="467"/>
      <c r="C24" s="467"/>
      <c r="D24" s="467"/>
      <c r="E24" s="467"/>
      <c r="F24" s="467"/>
      <c r="G24" s="467"/>
    </row>
    <row r="25" spans="1:7" ht="15.75">
      <c r="A25" s="481" t="s">
        <v>142</v>
      </c>
      <c r="B25" s="481"/>
      <c r="C25" s="481"/>
      <c r="D25" s="481"/>
      <c r="E25" s="482"/>
      <c r="F25" s="483">
        <f>G12+G15+G18+G22</f>
        <v>473.31000000000006</v>
      </c>
      <c r="G25" s="483"/>
    </row>
    <row r="26" spans="1:7" ht="15.75">
      <c r="A26" s="481" t="s">
        <v>143</v>
      </c>
      <c r="B26" s="481"/>
      <c r="C26" s="481"/>
      <c r="D26" s="481"/>
      <c r="E26" s="484">
        <f>'ANEXO PB  VI CALCULO BDI'!F241</f>
        <v>0.2907</v>
      </c>
      <c r="F26" s="483">
        <f>ROUND(F25*(1+E26),2)</f>
        <v>610.9</v>
      </c>
      <c r="G26" s="483"/>
    </row>
    <row r="27" spans="1:7" ht="15.75">
      <c r="A27" s="485"/>
      <c r="B27" s="485"/>
      <c r="C27" s="485"/>
      <c r="D27" s="485"/>
      <c r="E27" s="485"/>
      <c r="F27" s="485"/>
      <c r="G27" s="485"/>
    </row>
    <row r="28" spans="1:8" ht="18.75" customHeight="1">
      <c r="A28" s="486" t="str">
        <f>'ANEXO PB II RORAINÓPILS'!A40</f>
        <v>OBSERVAÇÕES: 1 - Os serviços de despesas indiretas da obra devem ser medidos e pagos conforme o pecentual de execução da obra e deve ser mostrado no boletim de medição.</v>
      </c>
      <c r="B28" s="486"/>
      <c r="C28" s="486"/>
      <c r="D28" s="486"/>
      <c r="E28" s="486"/>
      <c r="F28" s="486"/>
      <c r="G28" s="486"/>
      <c r="H28" s="664" t="s">
        <v>245</v>
      </c>
    </row>
    <row r="29" spans="1:7" ht="19.5" customHeight="1">
      <c r="A29" s="487"/>
      <c r="B29" s="487"/>
      <c r="C29" s="487"/>
      <c r="D29" s="487"/>
      <c r="E29" s="487"/>
      <c r="F29" s="487"/>
      <c r="G29" s="487"/>
    </row>
  </sheetData>
  <sheetProtection/>
  <mergeCells count="23">
    <mergeCell ref="A1:G1"/>
    <mergeCell ref="A2:G2"/>
    <mergeCell ref="A3:G3"/>
    <mergeCell ref="A4:G4"/>
    <mergeCell ref="A5:G5"/>
    <mergeCell ref="A6:G6"/>
    <mergeCell ref="A9:G9"/>
    <mergeCell ref="E10:G10"/>
    <mergeCell ref="A14:G14"/>
    <mergeCell ref="A17:G17"/>
    <mergeCell ref="A21:G21"/>
    <mergeCell ref="A24:G24"/>
    <mergeCell ref="A25:E25"/>
    <mergeCell ref="F25:G25"/>
    <mergeCell ref="A26:D26"/>
    <mergeCell ref="F26:G26"/>
    <mergeCell ref="A27:G27"/>
    <mergeCell ref="A10:A11"/>
    <mergeCell ref="B10:B11"/>
    <mergeCell ref="C10:C11"/>
    <mergeCell ref="D10:D11"/>
    <mergeCell ref="A7:E8"/>
    <mergeCell ref="A28:G29"/>
  </mergeCells>
  <printOptions/>
  <pageMargins left="1.18" right="0.79" top="1.18" bottom="1" header="0" footer="0.51"/>
  <pageSetup horizontalDpi="600" verticalDpi="600" orientation="portrait" paperSize="9" scale="52"/>
  <headerFooter>
    <oddHeader>&amp;C&amp;G&amp;"-"&amp;12
DEFENSORIA PÚBLICA DO ESTADO DE RORAIMA
“Amazônia: Patrimônio dos brasileiros”
Seção de Engenharia, Projetos, Fiscalização de Obras e Manutenção Predial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pmbv</dc:creator>
  <cp:keywords/>
  <dc:description/>
  <cp:lastModifiedBy>dpe3705</cp:lastModifiedBy>
  <cp:lastPrinted>2017-02-17T13:43:21Z</cp:lastPrinted>
  <dcterms:created xsi:type="dcterms:W3CDTF">2008-01-18T12:01:07Z</dcterms:created>
  <dcterms:modified xsi:type="dcterms:W3CDTF">2021-10-14T14:56:05Z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1046-10.2.0.7587</vt:lpwstr>
  </property>
</Properties>
</file>